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C:\Cloud\Box\3025000_事業統括本部国内事業部環境計画部\03_研究開発\ブルーエコノミー\■住友大阪セメント\04_検討\01_BC量推計・申請書作成\02_申請資料\"/>
    </mc:Choice>
  </mc:AlternateContent>
  <xr:revisionPtr revIDLastSave="0" documentId="13_ncr:1_{E24ADE20-81C9-4626-A4F1-EE00D8378227}" xr6:coauthVersionLast="47" xr6:coauthVersionMax="47" xr10:uidLastSave="{00000000-0000-0000-0000-000000000000}"/>
  <bookViews>
    <workbookView xWindow="28680" yWindow="-120" windowWidth="29040" windowHeight="15720" activeTab="2" xr2:uid="{2AC124B9-C3AA-4F6E-BF5F-9A7042FB1D97}"/>
  </bookViews>
  <sheets>
    <sheet name="被度・面積" sheetId="9" r:id="rId1"/>
    <sheet name="春藻場面積（修正）" sheetId="13" r:id="rId2"/>
    <sheet name="湿重量_水深別_修正" sheetId="15" r:id="rId3"/>
    <sheet name="BC量_藻場" sheetId="8" r:id="rId4"/>
    <sheet name="PB比・含水比・炭素含有比" sheetId="16"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N15" i="16" l="1"/>
  <c r="F9" i="8" s="1"/>
  <c r="D15" i="16"/>
  <c r="D5" i="8" s="1"/>
  <c r="E9" i="8"/>
  <c r="E7" i="8"/>
  <c r="E5" i="8"/>
  <c r="N11" i="8"/>
  <c r="O11" i="8"/>
  <c r="P11" i="8"/>
  <c r="Q11" i="8"/>
  <c r="R11" i="8"/>
  <c r="S11" i="8"/>
  <c r="T11" i="8"/>
  <c r="U11" i="8"/>
  <c r="V11" i="8"/>
  <c r="N12" i="8"/>
  <c r="O12" i="8"/>
  <c r="P12" i="8"/>
  <c r="Q12" i="8"/>
  <c r="R12" i="8"/>
  <c r="S12" i="8"/>
  <c r="T12" i="8"/>
  <c r="U12" i="8"/>
  <c r="V12" i="8"/>
  <c r="F5" i="8" l="1"/>
  <c r="F7" i="8"/>
  <c r="I33" i="16"/>
  <c r="D22" i="8" l="1"/>
  <c r="E226" i="9"/>
  <c r="J209" i="9"/>
  <c r="I209" i="9"/>
  <c r="H209" i="9"/>
  <c r="E195" i="9"/>
  <c r="J202" i="9"/>
  <c r="J200" i="9"/>
  <c r="J199" i="9"/>
  <c r="J197" i="9"/>
  <c r="J222" i="9" l="1"/>
  <c r="J221" i="9"/>
  <c r="J218" i="9"/>
  <c r="J217" i="9"/>
  <c r="K195" i="9"/>
  <c r="K200" i="9"/>
  <c r="H212" i="9"/>
  <c r="H211" i="9"/>
  <c r="H210" i="9"/>
  <c r="J214" i="9"/>
  <c r="J213" i="9"/>
  <c r="C5" i="13"/>
  <c r="I195" i="9"/>
  <c r="J195" i="9" s="1"/>
  <c r="H195" i="9"/>
  <c r="H222" i="9"/>
  <c r="E222" i="9"/>
  <c r="F5" i="13"/>
  <c r="E28" i="13"/>
  <c r="E27" i="13"/>
  <c r="E26" i="13"/>
  <c r="E25" i="13"/>
  <c r="E24" i="13"/>
  <c r="E23" i="13"/>
  <c r="E22" i="13"/>
  <c r="E21" i="13"/>
  <c r="E20" i="13"/>
  <c r="E19" i="13"/>
  <c r="E18" i="13"/>
  <c r="E17" i="13"/>
  <c r="E16" i="13"/>
  <c r="E15" i="13"/>
  <c r="E14" i="13"/>
  <c r="E13" i="13"/>
  <c r="E12" i="13"/>
  <c r="H221" i="9" s="1"/>
  <c r="E11" i="13"/>
  <c r="H220" i="9" s="1"/>
  <c r="E10" i="13"/>
  <c r="E9" i="13"/>
  <c r="H219" i="9" s="1"/>
  <c r="E8" i="13"/>
  <c r="E7" i="13"/>
  <c r="C28" i="13"/>
  <c r="C27" i="13"/>
  <c r="C26" i="13"/>
  <c r="E6" i="13"/>
  <c r="E5" i="13"/>
  <c r="H218" i="9" s="1"/>
  <c r="D28" i="13"/>
  <c r="D27" i="13"/>
  <c r="H217" i="9" s="1"/>
  <c r="D26" i="13"/>
  <c r="D25" i="13"/>
  <c r="H216" i="9" s="1"/>
  <c r="D24" i="13"/>
  <c r="D23" i="13"/>
  <c r="D22" i="13"/>
  <c r="D21" i="13"/>
  <c r="D20" i="13"/>
  <c r="D19" i="13"/>
  <c r="D18" i="13"/>
  <c r="D17" i="13"/>
  <c r="D16" i="13"/>
  <c r="D15" i="13"/>
  <c r="D14" i="13"/>
  <c r="D13" i="13"/>
  <c r="D12" i="13"/>
  <c r="D11" i="13"/>
  <c r="D10" i="13"/>
  <c r="D9" i="13"/>
  <c r="D8" i="13"/>
  <c r="D7" i="13"/>
  <c r="D6" i="13"/>
  <c r="D5" i="13"/>
  <c r="H214" i="9" s="1"/>
  <c r="C25" i="13"/>
  <c r="C24" i="13"/>
  <c r="C23" i="13"/>
  <c r="C22" i="13"/>
  <c r="C21" i="13"/>
  <c r="C20" i="13"/>
  <c r="C19" i="13"/>
  <c r="C18" i="13"/>
  <c r="C17" i="13"/>
  <c r="C16" i="13"/>
  <c r="C15" i="13"/>
  <c r="C14" i="13"/>
  <c r="C13" i="13"/>
  <c r="C12" i="13"/>
  <c r="C11" i="13"/>
  <c r="C10" i="13"/>
  <c r="C9" i="13"/>
  <c r="C8" i="13"/>
  <c r="C7" i="13"/>
  <c r="C6" i="13"/>
  <c r="E225" i="9" l="1"/>
  <c r="I222" i="9"/>
  <c r="H215" i="9"/>
  <c r="H213" i="9"/>
  <c r="S28" i="15"/>
  <c r="R28" i="15"/>
  <c r="S27" i="15"/>
  <c r="S26" i="15"/>
  <c r="E216" i="9"/>
  <c r="E213" i="9"/>
  <c r="N4" i="8"/>
  <c r="O4" i="8"/>
  <c r="P4" i="8" s="1"/>
  <c r="Q4" i="8"/>
  <c r="R4" i="8"/>
  <c r="S4" i="8" s="1"/>
  <c r="N5" i="8"/>
  <c r="O5" i="8"/>
  <c r="P5" i="8" s="1"/>
  <c r="Q5" i="8"/>
  <c r="R5" i="8"/>
  <c r="S5" i="8" s="1"/>
  <c r="N6" i="8"/>
  <c r="O6" i="8"/>
  <c r="P6" i="8" s="1"/>
  <c r="Q6" i="8"/>
  <c r="R6" i="8"/>
  <c r="S6" i="8" s="1"/>
  <c r="N17" i="8"/>
  <c r="P17" i="8"/>
  <c r="Q17" i="8"/>
  <c r="S17" i="8"/>
  <c r="N14" i="8"/>
  <c r="O14" i="8"/>
  <c r="P14" i="8" s="1"/>
  <c r="Q14" i="8"/>
  <c r="R14" i="8"/>
  <c r="S14" i="8" s="1"/>
  <c r="N15" i="8"/>
  <c r="O15" i="8"/>
  <c r="P15" i="8" s="1"/>
  <c r="Q15" i="8"/>
  <c r="R15" i="8"/>
  <c r="S15" i="8" s="1"/>
  <c r="N16" i="8"/>
  <c r="O16" i="8"/>
  <c r="P16" i="8" s="1"/>
  <c r="Q16" i="8"/>
  <c r="R16" i="8"/>
  <c r="S16" i="8" s="1"/>
  <c r="N18" i="8"/>
  <c r="N21" i="8" s="1"/>
  <c r="O18" i="8"/>
  <c r="P18" i="8" s="1"/>
  <c r="P21" i="8" s="1"/>
  <c r="Q18" i="8"/>
  <c r="Q21" i="8" s="1"/>
  <c r="R18" i="8"/>
  <c r="S18" i="8" s="1"/>
  <c r="S21" i="8" s="1"/>
  <c r="N19" i="8"/>
  <c r="O19" i="8"/>
  <c r="P19" i="8" s="1"/>
  <c r="Q19" i="8"/>
  <c r="R19" i="8"/>
  <c r="S19" i="8" s="1"/>
  <c r="N20" i="8"/>
  <c r="O20" i="8"/>
  <c r="P20" i="8" s="1"/>
  <c r="Q20" i="8"/>
  <c r="R20" i="8"/>
  <c r="S20" i="8" s="1"/>
  <c r="P22" i="8"/>
  <c r="S29" i="15" l="1"/>
  <c r="S30" i="15" s="1"/>
  <c r="S31" i="15" s="1"/>
  <c r="E23" i="8" s="1"/>
  <c r="F23" i="8" s="1"/>
  <c r="G23" i="8" s="1"/>
  <c r="I213" i="9"/>
  <c r="I216" i="9"/>
  <c r="E204" i="9"/>
  <c r="E201" i="9"/>
  <c r="H204" i="9"/>
  <c r="H196" i="9"/>
  <c r="D27" i="8" l="1"/>
  <c r="I204" i="9"/>
  <c r="E196" i="9"/>
  <c r="I196" i="9" s="1"/>
  <c r="E209" i="9"/>
  <c r="N26" i="8" l="1"/>
  <c r="D35" i="8"/>
  <c r="Q27" i="15"/>
  <c r="R27" i="15"/>
  <c r="E217" i="9"/>
  <c r="I217" i="9" s="1"/>
  <c r="D29" i="8" l="1"/>
  <c r="X27" i="15"/>
  <c r="X29" i="15" s="1"/>
  <c r="X30" i="15" s="1"/>
  <c r="X31" i="15" s="1"/>
  <c r="F39" i="8" s="1"/>
  <c r="W27" i="15"/>
  <c r="W29" i="15" s="1"/>
  <c r="W30" i="15" s="1"/>
  <c r="W31" i="15" s="1"/>
  <c r="V27" i="15"/>
  <c r="V29" i="15" s="1"/>
  <c r="V30" i="15" s="1"/>
  <c r="V31" i="15" s="1"/>
  <c r="F37" i="8" s="1"/>
  <c r="U27" i="15"/>
  <c r="U29" i="15" s="1"/>
  <c r="U30" i="15" s="1"/>
  <c r="U31" i="15" s="1"/>
  <c r="F36" i="8" s="1"/>
  <c r="T27" i="15"/>
  <c r="U26" i="15"/>
  <c r="V26" i="15"/>
  <c r="W26" i="15"/>
  <c r="X26" i="15"/>
  <c r="T26" i="15"/>
  <c r="R29" i="15"/>
  <c r="Q28" i="15"/>
  <c r="O28" i="15"/>
  <c r="N28" i="15"/>
  <c r="K28" i="15"/>
  <c r="J28" i="15"/>
  <c r="H28" i="15"/>
  <c r="N27" i="15"/>
  <c r="J27" i="15"/>
  <c r="R26" i="15"/>
  <c r="Q26" i="15"/>
  <c r="P26" i="15"/>
  <c r="O26" i="15"/>
  <c r="N26" i="15"/>
  <c r="M26" i="15"/>
  <c r="K26" i="15"/>
  <c r="J26" i="15"/>
  <c r="I26" i="15"/>
  <c r="H26" i="15"/>
  <c r="L17" i="15"/>
  <c r="H165" i="9"/>
  <c r="H164" i="9"/>
  <c r="H163" i="9"/>
  <c r="W32" i="15" l="1"/>
  <c r="F38" i="8"/>
  <c r="G38" i="8" s="1"/>
  <c r="H27" i="15"/>
  <c r="L26" i="15"/>
  <c r="T29" i="15"/>
  <c r="T30" i="15" s="1"/>
  <c r="T31" i="15" s="1"/>
  <c r="J29" i="15"/>
  <c r="J30" i="15" s="1"/>
  <c r="J31" i="15" s="1"/>
  <c r="E27" i="8" s="1"/>
  <c r="F27" i="8" s="1"/>
  <c r="G27" i="8" s="1"/>
  <c r="H29" i="15"/>
  <c r="H30" i="15" s="1"/>
  <c r="H31" i="15" s="1"/>
  <c r="E26" i="8" s="1"/>
  <c r="N29" i="15"/>
  <c r="N30" i="15" s="1"/>
  <c r="N31" i="15" s="1"/>
  <c r="E29" i="8" s="1"/>
  <c r="F29" i="8" s="1"/>
  <c r="G29" i="8" s="1"/>
  <c r="O27" i="15"/>
  <c r="O29" i="15" s="1"/>
  <c r="O30" i="15" s="1"/>
  <c r="O31" i="15" s="1"/>
  <c r="E30" i="8" s="1"/>
  <c r="Q29" i="15"/>
  <c r="Q30" i="15" s="1"/>
  <c r="Q31" i="15" s="1"/>
  <c r="E31" i="8" s="1"/>
  <c r="R30" i="15"/>
  <c r="R31" i="15" s="1"/>
  <c r="E22" i="8" s="1"/>
  <c r="F22" i="8" s="1"/>
  <c r="G22" i="8" s="1"/>
  <c r="H22" i="8" s="1"/>
  <c r="I22" i="8" s="1"/>
  <c r="K27" i="15"/>
  <c r="K29" i="15" s="1"/>
  <c r="K30" i="15" s="1"/>
  <c r="K31" i="15" s="1"/>
  <c r="E28" i="8" s="1"/>
  <c r="F35" i="8" l="1"/>
  <c r="G35" i="8" s="1"/>
  <c r="U32" i="15"/>
  <c r="T177" i="9"/>
  <c r="T178" i="9"/>
  <c r="Q178" i="9"/>
  <c r="Q177" i="9"/>
  <c r="I178" i="9"/>
  <c r="I177" i="9"/>
  <c r="E177" i="9"/>
  <c r="E178" i="9"/>
  <c r="T16" i="8"/>
  <c r="T15" i="8"/>
  <c r="I169" i="9"/>
  <c r="I170" i="9"/>
  <c r="I171" i="9"/>
  <c r="I172" i="9"/>
  <c r="I173" i="9"/>
  <c r="I174" i="9"/>
  <c r="I175" i="9"/>
  <c r="I176" i="9"/>
  <c r="E221" i="9"/>
  <c r="E220" i="9"/>
  <c r="E219" i="9"/>
  <c r="E218" i="9"/>
  <c r="I218" i="9" s="1"/>
  <c r="T14" i="8"/>
  <c r="E215" i="9"/>
  <c r="E214" i="9"/>
  <c r="I214" i="9" s="1"/>
  <c r="E212" i="9"/>
  <c r="E211" i="9"/>
  <c r="E210" i="9"/>
  <c r="H198" i="9"/>
  <c r="H197" i="9"/>
  <c r="T162" i="9"/>
  <c r="H162" i="9"/>
  <c r="I162" i="9" s="1"/>
  <c r="E162" i="9"/>
  <c r="AD5" i="8" l="1"/>
  <c r="J177" i="9"/>
  <c r="J178" i="9"/>
  <c r="I221" i="9"/>
  <c r="I219" i="9"/>
  <c r="I215" i="9"/>
  <c r="D28" i="8" s="1"/>
  <c r="F28" i="8" s="1"/>
  <c r="G28" i="8" s="1"/>
  <c r="J162" i="9"/>
  <c r="I220" i="9"/>
  <c r="I212" i="9"/>
  <c r="I211" i="9"/>
  <c r="I210" i="9"/>
  <c r="D30" i="8" l="1"/>
  <c r="F30" i="8" s="1"/>
  <c r="G30" i="8" s="1"/>
  <c r="D31" i="8"/>
  <c r="F31" i="8" s="1"/>
  <c r="G31" i="8" s="1"/>
  <c r="D26" i="8"/>
  <c r="F26" i="8" s="1"/>
  <c r="G26" i="8" s="1"/>
  <c r="U4" i="8"/>
  <c r="V4" i="8" s="1"/>
  <c r="T4" i="8"/>
  <c r="T6" i="8"/>
  <c r="AB5" i="8"/>
  <c r="AD6" i="8"/>
  <c r="AB6" i="8"/>
  <c r="T5" i="8"/>
  <c r="AD4" i="8" s="1"/>
  <c r="AA5" i="8"/>
  <c r="T17" i="8"/>
  <c r="U14" i="8"/>
  <c r="V14" i="8" s="1"/>
  <c r="U6" i="8" l="1"/>
  <c r="V6" i="8" s="1"/>
  <c r="AA6" i="8"/>
  <c r="W6" i="8"/>
  <c r="AC5" i="8"/>
  <c r="T21" i="8"/>
  <c r="AA4" i="8"/>
  <c r="U5" i="8"/>
  <c r="V5" i="8" s="1"/>
  <c r="U15" i="8"/>
  <c r="V15" i="8" s="1"/>
  <c r="U16" i="8"/>
  <c r="V16" i="8" s="1"/>
  <c r="T163" i="9"/>
  <c r="T164" i="9"/>
  <c r="T165" i="9"/>
  <c r="T166" i="9"/>
  <c r="T167" i="9"/>
  <c r="T168" i="9"/>
  <c r="Y162" i="9"/>
  <c r="I179" i="9"/>
  <c r="I180" i="9"/>
  <c r="I181" i="9"/>
  <c r="I182" i="9"/>
  <c r="I183" i="9"/>
  <c r="I184" i="9"/>
  <c r="I185" i="9"/>
  <c r="I186" i="9"/>
  <c r="I187" i="9"/>
  <c r="I163" i="9"/>
  <c r="I165" i="9"/>
  <c r="H166" i="9"/>
  <c r="I166" i="9" s="1"/>
  <c r="H167" i="9"/>
  <c r="I167" i="9" s="1"/>
  <c r="H168" i="9"/>
  <c r="I168" i="9" s="1"/>
  <c r="Q187" i="9"/>
  <c r="Y163" i="9"/>
  <c r="T169" i="9"/>
  <c r="Y164" i="9"/>
  <c r="T180" i="9"/>
  <c r="T181" i="9"/>
  <c r="T182" i="9"/>
  <c r="T183" i="9"/>
  <c r="T184" i="9"/>
  <c r="T185" i="9"/>
  <c r="T186" i="9"/>
  <c r="T179" i="9"/>
  <c r="T170" i="9"/>
  <c r="U177" i="9" s="1"/>
  <c r="T171" i="9"/>
  <c r="U178" i="9" s="1"/>
  <c r="T172" i="9"/>
  <c r="T173" i="9"/>
  <c r="T174" i="9"/>
  <c r="T175" i="9"/>
  <c r="T176" i="9"/>
  <c r="Q186" i="9"/>
  <c r="Q185" i="9"/>
  <c r="Q184" i="9"/>
  <c r="Q183" i="9"/>
  <c r="Q182" i="9"/>
  <c r="Q181" i="9"/>
  <c r="Q180" i="9"/>
  <c r="Q179" i="9"/>
  <c r="I164" i="9"/>
  <c r="Q176" i="9"/>
  <c r="Q175" i="9"/>
  <c r="Q174" i="9"/>
  <c r="Q173" i="9"/>
  <c r="Q172" i="9"/>
  <c r="Q171" i="9"/>
  <c r="Q170" i="9"/>
  <c r="Q169" i="9"/>
  <c r="Q168" i="9"/>
  <c r="U168" i="9" s="1"/>
  <c r="Q167" i="9"/>
  <c r="Q166" i="9"/>
  <c r="Q165" i="9"/>
  <c r="Q164" i="9"/>
  <c r="Q163" i="9"/>
  <c r="U163" i="9" s="1"/>
  <c r="Q162" i="9"/>
  <c r="U162" i="9" s="1"/>
  <c r="E186" i="9"/>
  <c r="E176" i="9"/>
  <c r="E173" i="9"/>
  <c r="E175" i="9"/>
  <c r="H200" i="9"/>
  <c r="H199" i="9"/>
  <c r="E187" i="9"/>
  <c r="H202" i="9"/>
  <c r="X6" i="8" l="1"/>
  <c r="U175" i="9"/>
  <c r="U174" i="9"/>
  <c r="U172" i="9"/>
  <c r="U170" i="9"/>
  <c r="U169" i="9"/>
  <c r="U171" i="9"/>
  <c r="U176" i="9"/>
  <c r="U186" i="9"/>
  <c r="X166" i="9"/>
  <c r="U185" i="9"/>
  <c r="U184" i="9"/>
  <c r="U182" i="9"/>
  <c r="U181" i="9"/>
  <c r="U183" i="9"/>
  <c r="U179" i="9"/>
  <c r="U180" i="9"/>
  <c r="U173" i="9"/>
  <c r="U187" i="9"/>
  <c r="V187" i="9" s="1"/>
  <c r="J175" i="9"/>
  <c r="J176" i="9"/>
  <c r="J186" i="9"/>
  <c r="U165" i="9"/>
  <c r="U164" i="9"/>
  <c r="U166" i="9"/>
  <c r="U167" i="9"/>
  <c r="J187" i="9"/>
  <c r="K187" i="9" s="1"/>
  <c r="J173" i="9"/>
  <c r="V169" i="9" l="1"/>
  <c r="V179" i="9"/>
  <c r="V162" i="9"/>
  <c r="V188" i="9" l="1"/>
  <c r="E183" i="9"/>
  <c r="E182" i="9"/>
  <c r="E181" i="9"/>
  <c r="E180" i="9"/>
  <c r="E184" i="9"/>
  <c r="E179" i="9"/>
  <c r="E174" i="9"/>
  <c r="E172" i="9"/>
  <c r="E171" i="9"/>
  <c r="E170" i="9"/>
  <c r="J170" i="9" s="1"/>
  <c r="E168" i="9"/>
  <c r="J168" i="9" s="1"/>
  <c r="E167" i="9"/>
  <c r="J167" i="9" s="1"/>
  <c r="E166" i="9"/>
  <c r="J166" i="9" s="1"/>
  <c r="E165" i="9"/>
  <c r="J165" i="9" s="1"/>
  <c r="E164" i="9"/>
  <c r="J164" i="9" s="1"/>
  <c r="E163" i="9"/>
  <c r="E202" i="9"/>
  <c r="I202" i="9" s="1"/>
  <c r="E198" i="9"/>
  <c r="I198" i="9" s="1"/>
  <c r="H201" i="9"/>
  <c r="I201" i="9" s="1"/>
  <c r="E200" i="9"/>
  <c r="I200" i="9" s="1"/>
  <c r="E185" i="9"/>
  <c r="E197" i="9"/>
  <c r="I197" i="9" s="1"/>
  <c r="E199" i="9"/>
  <c r="I199" i="9" s="1"/>
  <c r="E203" i="9"/>
  <c r="E169" i="9"/>
  <c r="J169" i="9" s="1"/>
  <c r="H203" i="9"/>
  <c r="I203" i="9" l="1"/>
  <c r="N35" i="8"/>
  <c r="D38" i="8"/>
  <c r="N32" i="8"/>
  <c r="D37" i="8"/>
  <c r="D39" i="8"/>
  <c r="O32" i="8"/>
  <c r="P32" i="8" s="1"/>
  <c r="J179" i="9"/>
  <c r="J181" i="9"/>
  <c r="J185" i="9"/>
  <c r="J183" i="9"/>
  <c r="J184" i="9"/>
  <c r="J180" i="9"/>
  <c r="J182" i="9"/>
  <c r="J171" i="9"/>
  <c r="J172" i="9"/>
  <c r="J174" i="9"/>
  <c r="O26" i="8"/>
  <c r="J163" i="9"/>
  <c r="E38" i="8" l="1"/>
  <c r="H38" i="8" s="1"/>
  <c r="I38" i="8" s="1"/>
  <c r="N46" i="8"/>
  <c r="D36" i="8"/>
  <c r="E35" i="8" s="1"/>
  <c r="H35" i="8" s="1"/>
  <c r="I35" i="8" s="1"/>
  <c r="O46" i="8"/>
  <c r="P26" i="8"/>
  <c r="O35" i="8"/>
  <c r="P35" i="8" s="1"/>
  <c r="K169" i="9"/>
  <c r="K162" i="9"/>
  <c r="K179" i="9"/>
  <c r="P38" i="8" l="1"/>
  <c r="S41" i="8" s="1"/>
  <c r="K188" i="9"/>
  <c r="V17" i="8" l="1"/>
  <c r="V21" i="8" l="1"/>
  <c r="V41" i="8" s="1"/>
  <c r="P41" i="8" s="1"/>
</calcChain>
</file>

<file path=xl/sharedStrings.xml><?xml version="1.0" encoding="utf-8"?>
<sst xmlns="http://schemas.openxmlformats.org/spreadsheetml/2006/main" count="1194" uniqueCount="498">
  <si>
    <t>イバラノリ</t>
    <phoneticPr fontId="18"/>
  </si>
  <si>
    <t>種類名</t>
    <rPh sb="0" eb="3">
      <t>シュルイメイ</t>
    </rPh>
    <phoneticPr fontId="18"/>
  </si>
  <si>
    <t>湿重量合計</t>
    <rPh sb="0" eb="3">
      <t>シツジュウリョウ</t>
    </rPh>
    <rPh sb="3" eb="5">
      <t>ゴウケイ</t>
    </rPh>
    <phoneticPr fontId="18"/>
  </si>
  <si>
    <t>学名</t>
    <rPh sb="0" eb="2">
      <t>ガクメイ</t>
    </rPh>
    <phoneticPr fontId="18"/>
  </si>
  <si>
    <t>和名</t>
    <rPh sb="0" eb="2">
      <t>ワメイ</t>
    </rPh>
    <phoneticPr fontId="18"/>
  </si>
  <si>
    <t>科</t>
    <rPh sb="0" eb="1">
      <t>カ</t>
    </rPh>
    <phoneticPr fontId="18"/>
  </si>
  <si>
    <t>目</t>
    <rPh sb="0" eb="1">
      <t>モク</t>
    </rPh>
    <phoneticPr fontId="18"/>
  </si>
  <si>
    <t>綱</t>
    <rPh sb="0" eb="1">
      <t>コウ</t>
    </rPh>
    <phoneticPr fontId="18"/>
  </si>
  <si>
    <t>分類</t>
    <rPh sb="0" eb="2">
      <t>ブンルイ</t>
    </rPh>
    <phoneticPr fontId="18"/>
  </si>
  <si>
    <t>No.</t>
    <phoneticPr fontId="18"/>
  </si>
  <si>
    <t>Gracilaria incurvata</t>
    <phoneticPr fontId="18"/>
  </si>
  <si>
    <t>ミゾオゴノリ</t>
    <phoneticPr fontId="18"/>
  </si>
  <si>
    <t>紅藻</t>
    <rPh sb="0" eb="2">
      <t>コウソウ</t>
    </rPh>
    <phoneticPr fontId="18"/>
  </si>
  <si>
    <t>褐藻</t>
    <rPh sb="0" eb="2">
      <t>カッソウ</t>
    </rPh>
    <phoneticPr fontId="18"/>
  </si>
  <si>
    <t>75以上</t>
    <rPh sb="2" eb="4">
      <t>イジョウ</t>
    </rPh>
    <phoneticPr fontId="21"/>
  </si>
  <si>
    <t>海藻分布が多く海底面が見えない</t>
  </si>
  <si>
    <t>濃生</t>
    <rPh sb="0" eb="2">
      <t>ノウセイ</t>
    </rPh>
    <phoneticPr fontId="21"/>
  </si>
  <si>
    <t>50～75未満</t>
    <rPh sb="5" eb="7">
      <t>ミマン</t>
    </rPh>
    <phoneticPr fontId="21"/>
  </si>
  <si>
    <t>海藻分布の方が海底面より多い</t>
  </si>
  <si>
    <t>密生</t>
    <rPh sb="0" eb="2">
      <t>ミッセイ</t>
    </rPh>
    <phoneticPr fontId="21"/>
  </si>
  <si>
    <t>25～50未満</t>
    <rPh sb="5" eb="7">
      <t>ミマン</t>
    </rPh>
    <phoneticPr fontId="21"/>
  </si>
  <si>
    <t>海藻分布よりも海底面の方が多い</t>
  </si>
  <si>
    <t>疎生</t>
    <rPh sb="0" eb="1">
      <t>ソ</t>
    </rPh>
    <rPh sb="1" eb="2">
      <t>セイ</t>
    </rPh>
    <phoneticPr fontId="21"/>
  </si>
  <si>
    <t>５～25未満</t>
    <rPh sb="4" eb="6">
      <t>ミマン</t>
    </rPh>
    <phoneticPr fontId="21"/>
  </si>
  <si>
    <t>海藻はまばらに生育する</t>
  </si>
  <si>
    <t>点生</t>
    <rPh sb="0" eb="2">
      <t>テンセイ</t>
    </rPh>
    <phoneticPr fontId="21"/>
  </si>
  <si>
    <t>５未満</t>
    <rPh sb="1" eb="3">
      <t>ミマン</t>
    </rPh>
    <phoneticPr fontId="21"/>
  </si>
  <si>
    <t>海藻は極くまばらに生育する</t>
    <rPh sb="3" eb="4">
      <t>ゴク</t>
    </rPh>
    <phoneticPr fontId="21"/>
  </si>
  <si>
    <t>極く点生</t>
    <rPh sb="0" eb="1">
      <t>ゴク</t>
    </rPh>
    <rPh sb="2" eb="4">
      <t>テンセイ</t>
    </rPh>
    <phoneticPr fontId="21"/>
  </si>
  <si>
    <t>分類</t>
    <rPh sb="0" eb="2">
      <t>ブンルイ</t>
    </rPh>
    <phoneticPr fontId="21"/>
  </si>
  <si>
    <t>水深帯(m)</t>
    <rPh sb="0" eb="3">
      <t>スイシンタイ</t>
    </rPh>
    <phoneticPr fontId="21"/>
  </si>
  <si>
    <t>被度範囲
（％）</t>
    <rPh sb="0" eb="2">
      <t>ヒド</t>
    </rPh>
    <rPh sb="2" eb="4">
      <t>ハンイ</t>
    </rPh>
    <phoneticPr fontId="21"/>
  </si>
  <si>
    <t>被度区分の基準</t>
    <rPh sb="0" eb="2">
      <t>ヒド</t>
    </rPh>
    <rPh sb="2" eb="4">
      <t>クブン</t>
    </rPh>
    <rPh sb="5" eb="7">
      <t>キジュン</t>
    </rPh>
    <phoneticPr fontId="21"/>
  </si>
  <si>
    <t>被度
区分</t>
    <rPh sb="0" eb="2">
      <t>ヒド</t>
    </rPh>
    <rPh sb="3" eb="5">
      <t>クブン</t>
    </rPh>
    <phoneticPr fontId="21"/>
  </si>
  <si>
    <t>被度
階級</t>
    <rPh sb="0" eb="1">
      <t>ヒ</t>
    </rPh>
    <rPh sb="1" eb="2">
      <t>ド</t>
    </rPh>
    <rPh sb="3" eb="5">
      <t>カイキュウ</t>
    </rPh>
    <phoneticPr fontId="21"/>
  </si>
  <si>
    <t>調査測線</t>
    <rPh sb="0" eb="4">
      <t>チョウサソクセン</t>
    </rPh>
    <phoneticPr fontId="21"/>
  </si>
  <si>
    <t>区分</t>
    <rPh sb="0" eb="2">
      <t>クブン</t>
    </rPh>
    <phoneticPr fontId="21"/>
  </si>
  <si>
    <t>目視観察結果（測線）</t>
    <rPh sb="0" eb="6">
      <t>モクシカンサツケッカ</t>
    </rPh>
    <rPh sb="7" eb="9">
      <t>ソクセン</t>
    </rPh>
    <phoneticPr fontId="21"/>
  </si>
  <si>
    <t>紅藻綱</t>
    <rPh sb="0" eb="3">
      <t>コウソウコウ</t>
    </rPh>
    <phoneticPr fontId="21"/>
  </si>
  <si>
    <t>褐藻綱</t>
    <rPh sb="0" eb="3">
      <t>カッソウコウ</t>
    </rPh>
    <phoneticPr fontId="21"/>
  </si>
  <si>
    <t>緑藻綱</t>
    <rPh sb="0" eb="3">
      <t>リョクソウコウ</t>
    </rPh>
    <phoneticPr fontId="21"/>
  </si>
  <si>
    <t>被度階級</t>
    <rPh sb="0" eb="1">
      <t>ヒ</t>
    </rPh>
    <rPh sb="1" eb="2">
      <t>ド</t>
    </rPh>
    <rPh sb="2" eb="4">
      <t>カイキュウ</t>
    </rPh>
    <phoneticPr fontId="16"/>
  </si>
  <si>
    <t>面積補正値</t>
    <rPh sb="0" eb="2">
      <t>メンセキ</t>
    </rPh>
    <rPh sb="2" eb="5">
      <t>ホセイチ</t>
    </rPh>
    <phoneticPr fontId="16"/>
  </si>
  <si>
    <t>藻場タイプ</t>
    <rPh sb="0" eb="1">
      <t>モ</t>
    </rPh>
    <rPh sb="1" eb="2">
      <t>バ</t>
    </rPh>
    <phoneticPr fontId="17"/>
  </si>
  <si>
    <t>ワカメ場</t>
    <rPh sb="3" eb="4">
      <t>バ</t>
    </rPh>
    <phoneticPr fontId="17"/>
  </si>
  <si>
    <t>被度</t>
    <rPh sb="0" eb="2">
      <t>ヒド</t>
    </rPh>
    <phoneticPr fontId="17"/>
  </si>
  <si>
    <t>面積補正値</t>
    <rPh sb="0" eb="2">
      <t>メンセキ</t>
    </rPh>
    <rPh sb="2" eb="5">
      <t>ホセイチ</t>
    </rPh>
    <phoneticPr fontId="17"/>
  </si>
  <si>
    <t>合計</t>
    <rPh sb="0" eb="2">
      <t>ゴウケイ</t>
    </rPh>
    <phoneticPr fontId="17"/>
  </si>
  <si>
    <t>補正後
面積（ha)</t>
    <rPh sb="0" eb="3">
      <t>ホセイゴ</t>
    </rPh>
    <rPh sb="4" eb="6">
      <t>メンセキ</t>
    </rPh>
    <phoneticPr fontId="17"/>
  </si>
  <si>
    <t>水深
(m)</t>
    <rPh sb="0" eb="2">
      <t>スイシン</t>
    </rPh>
    <phoneticPr fontId="17"/>
  </si>
  <si>
    <t>藻場タイプ</t>
    <rPh sb="0" eb="2">
      <t>モバ</t>
    </rPh>
    <phoneticPr fontId="21"/>
  </si>
  <si>
    <t>藻場タイプ</t>
    <rPh sb="0" eb="2">
      <t>モバ</t>
    </rPh>
    <phoneticPr fontId="25"/>
  </si>
  <si>
    <t>残存率②</t>
    <rPh sb="0" eb="3">
      <t>ザンゾンリツ</t>
    </rPh>
    <phoneticPr fontId="21"/>
  </si>
  <si>
    <t>残存率①</t>
    <rPh sb="0" eb="3">
      <t>ザンゾンリツ</t>
    </rPh>
    <phoneticPr fontId="21"/>
  </si>
  <si>
    <t>生態系全体</t>
    <rPh sb="0" eb="3">
      <t>セイタイケイ</t>
    </rPh>
    <rPh sb="3" eb="5">
      <t>ゼンタイ</t>
    </rPh>
    <phoneticPr fontId="21"/>
  </si>
  <si>
    <t>炭素含有率</t>
    <rPh sb="0" eb="2">
      <t>タンソ</t>
    </rPh>
    <rPh sb="2" eb="4">
      <t>ガンユウ</t>
    </rPh>
    <rPh sb="4" eb="5">
      <t>リツ</t>
    </rPh>
    <phoneticPr fontId="21"/>
  </si>
  <si>
    <t>含水比</t>
    <rPh sb="0" eb="2">
      <t>ガンスイ</t>
    </rPh>
    <rPh sb="2" eb="3">
      <t>ヒ</t>
    </rPh>
    <phoneticPr fontId="21"/>
  </si>
  <si>
    <t>Ｐ／Ｂ比</t>
    <rPh sb="3" eb="4">
      <t>ヒ</t>
    </rPh>
    <phoneticPr fontId="21"/>
  </si>
  <si>
    <t>文献</t>
    <rPh sb="0" eb="2">
      <t>ブンケン</t>
    </rPh>
    <phoneticPr fontId="21"/>
  </si>
  <si>
    <t>斜面距離（m)</t>
    <rPh sb="0" eb="2">
      <t>シャメン</t>
    </rPh>
    <rPh sb="2" eb="4">
      <t>キョリ</t>
    </rPh>
    <phoneticPr fontId="17"/>
  </si>
  <si>
    <t>面積
（ha)</t>
    <rPh sb="0" eb="2">
      <t>メンセキ</t>
    </rPh>
    <phoneticPr fontId="17"/>
  </si>
  <si>
    <t>調査側線</t>
    <rPh sb="0" eb="4">
      <t>チョウサソクセン</t>
    </rPh>
    <phoneticPr fontId="18"/>
  </si>
  <si>
    <t>St.1</t>
    <phoneticPr fontId="17"/>
  </si>
  <si>
    <t>St.2</t>
  </si>
  <si>
    <t>St.3</t>
  </si>
  <si>
    <t>St.4</t>
  </si>
  <si>
    <t>S1</t>
    <phoneticPr fontId="17"/>
  </si>
  <si>
    <t>S2</t>
  </si>
  <si>
    <t>S3</t>
  </si>
  <si>
    <t>S4</t>
  </si>
  <si>
    <t>S5</t>
  </si>
  <si>
    <t>St.2</t>
    <phoneticPr fontId="17"/>
  </si>
  <si>
    <t>S2</t>
    <phoneticPr fontId="17"/>
  </si>
  <si>
    <t>St.1</t>
    <phoneticPr fontId="21"/>
  </si>
  <si>
    <t>St.2</t>
    <phoneticPr fontId="21"/>
  </si>
  <si>
    <t>St.3</t>
    <phoneticPr fontId="21"/>
  </si>
  <si>
    <t>St.4</t>
    <phoneticPr fontId="21"/>
  </si>
  <si>
    <t>種類名＼水深(D.L.m)</t>
    <rPh sb="0" eb="3">
      <t>シュルイメイ</t>
    </rPh>
    <rPh sb="4" eb="6">
      <t>スイシン</t>
    </rPh>
    <phoneticPr fontId="21"/>
  </si>
  <si>
    <t>緑藻</t>
  </si>
  <si>
    <t>ミル</t>
  </si>
  <si>
    <t>タマミル</t>
    <phoneticPr fontId="17"/>
  </si>
  <si>
    <t>Codium minus (Schmidt) Silva</t>
  </si>
  <si>
    <t>ナガミル</t>
    <phoneticPr fontId="17"/>
  </si>
  <si>
    <t>アミジグサ</t>
  </si>
  <si>
    <t>ヤハズグサ</t>
  </si>
  <si>
    <t xml:space="preserve">Dictyopteris latiuscula (Okamura) Okamura
</t>
  </si>
  <si>
    <t>ウミウチワ</t>
  </si>
  <si>
    <t>Padina arborescens</t>
  </si>
  <si>
    <t>コンブ</t>
  </si>
  <si>
    <t>クロメ</t>
  </si>
  <si>
    <t>Ecklonia cava ssp. Kurome</t>
  </si>
  <si>
    <t>チガイソ</t>
  </si>
  <si>
    <t>ワカメ</t>
  </si>
  <si>
    <t>Undaria pinnatifida</t>
  </si>
  <si>
    <t>ケヤリモ</t>
  </si>
  <si>
    <t>ケヤリ</t>
  </si>
  <si>
    <t>Sporochnus radiciformis</t>
  </si>
  <si>
    <t>ヒバマタ</t>
  </si>
  <si>
    <t>ホンダワラ</t>
  </si>
  <si>
    <t>マジリモク</t>
    <phoneticPr fontId="17"/>
  </si>
  <si>
    <t>Sargassum carpophyllum</t>
  </si>
  <si>
    <t>ヒイラギモク</t>
    <phoneticPr fontId="17"/>
  </si>
  <si>
    <t>ノコギリモク</t>
  </si>
  <si>
    <t>Sargassum macrocarpum C.Agardh</t>
  </si>
  <si>
    <t>ヤツマタモク</t>
  </si>
  <si>
    <t>Sargassum patens C.Agardh</t>
  </si>
  <si>
    <t>マメタワラ</t>
  </si>
  <si>
    <t>Sargassum piluliferum</t>
  </si>
  <si>
    <t>ヨレモク</t>
  </si>
  <si>
    <t>Sargassum siliquastrum (Turner) C. Agardh</t>
  </si>
  <si>
    <t>ヨレモク類</t>
    <rPh sb="4" eb="5">
      <t>ルイ</t>
    </rPh>
    <phoneticPr fontId="17"/>
  </si>
  <si>
    <t>スギノリ</t>
  </si>
  <si>
    <t>イバラノリ類</t>
    <phoneticPr fontId="17"/>
  </si>
  <si>
    <t>Hypnea asiatica</t>
  </si>
  <si>
    <t>ツカサノリ</t>
  </si>
  <si>
    <t>ツカサアミ</t>
    <phoneticPr fontId="17"/>
  </si>
  <si>
    <t>Kallymenia perforata</t>
  </si>
  <si>
    <t>キヌハダ</t>
    <phoneticPr fontId="18"/>
  </si>
  <si>
    <t>Pugetia japonica</t>
  </si>
  <si>
    <t>ミリン</t>
    <phoneticPr fontId="17"/>
  </si>
  <si>
    <t>トサカノリ</t>
    <phoneticPr fontId="17"/>
  </si>
  <si>
    <t>Meristotheca papulosa (Montagne) J.Agardh</t>
  </si>
  <si>
    <t>オゴノリ</t>
  </si>
  <si>
    <t>カバノリ</t>
    <phoneticPr fontId="17"/>
  </si>
  <si>
    <t>ウミゾウメン</t>
    <phoneticPr fontId="17"/>
  </si>
  <si>
    <t>ガラガラ</t>
    <phoneticPr fontId="17"/>
  </si>
  <si>
    <t>ヒラガラガラ</t>
    <phoneticPr fontId="17"/>
  </si>
  <si>
    <t>Dichotomaria falcata</t>
  </si>
  <si>
    <t>ヌラクサ</t>
    <phoneticPr fontId="17"/>
  </si>
  <si>
    <t>Sebdenia flabellata</t>
  </si>
  <si>
    <t>チャシオグサ</t>
  </si>
  <si>
    <t>ナガミル</t>
  </si>
  <si>
    <t>ヒラミル</t>
  </si>
  <si>
    <t>ハイミル</t>
  </si>
  <si>
    <t>タマミル</t>
  </si>
  <si>
    <t>シワヤハズ</t>
  </si>
  <si>
    <t>アミジグサ類（アミジグサ科）</t>
  </si>
  <si>
    <t>オウギ類（アミジグサ科）</t>
  </si>
  <si>
    <t>イチメガサ</t>
  </si>
  <si>
    <t>マジリモク</t>
  </si>
  <si>
    <t>イソモク</t>
  </si>
  <si>
    <t>エンドウモク</t>
  </si>
  <si>
    <t>ヨレモク類（ホンダワラ属）</t>
    <rPh sb="11" eb="12">
      <t>ゾク</t>
    </rPh>
    <phoneticPr fontId="21"/>
  </si>
  <si>
    <t>0-10</t>
    <phoneticPr fontId="17"/>
  </si>
  <si>
    <t>ヒラガラガラ</t>
  </si>
  <si>
    <t>フサノリ</t>
  </si>
  <si>
    <t>ヒラフサノリ</t>
  </si>
  <si>
    <t>ニセフサノリ</t>
  </si>
  <si>
    <t>有節サンゴモ（サンゴモ科）</t>
  </si>
  <si>
    <t>マクサ</t>
  </si>
  <si>
    <t>キヌクサ</t>
  </si>
  <si>
    <t>カギケノリ</t>
  </si>
  <si>
    <t>タマイタダキ</t>
  </si>
  <si>
    <t>キントキ</t>
  </si>
  <si>
    <t>イバラノリ類（イバラノリ属）</t>
    <rPh sb="5" eb="6">
      <t>ルイ</t>
    </rPh>
    <rPh sb="12" eb="13">
      <t>ゾク</t>
    </rPh>
    <phoneticPr fontId="21"/>
  </si>
  <si>
    <t>キヌハダ</t>
  </si>
  <si>
    <t>ツカサアミ</t>
  </si>
  <si>
    <t>ユカリ</t>
  </si>
  <si>
    <t>ヌラクサ</t>
  </si>
  <si>
    <t>トサカノリ</t>
  </si>
  <si>
    <t>カバノリ</t>
  </si>
  <si>
    <t>タオヤギソウ</t>
  </si>
  <si>
    <t>20-30</t>
    <phoneticPr fontId="17"/>
  </si>
  <si>
    <t>30-40</t>
    <phoneticPr fontId="17"/>
  </si>
  <si>
    <t>40-44</t>
    <phoneticPr fontId="17"/>
  </si>
  <si>
    <t>40-42</t>
    <phoneticPr fontId="17"/>
  </si>
  <si>
    <t>S 4-2</t>
    <phoneticPr fontId="21"/>
  </si>
  <si>
    <t>S4-1</t>
    <phoneticPr fontId="21"/>
  </si>
  <si>
    <t>S3</t>
    <phoneticPr fontId="21"/>
  </si>
  <si>
    <t>S2</t>
    <phoneticPr fontId="21"/>
  </si>
  <si>
    <t>S1</t>
    <phoneticPr fontId="21"/>
  </si>
  <si>
    <t>S 5-1</t>
    <phoneticPr fontId="21"/>
  </si>
  <si>
    <t>40-45</t>
    <phoneticPr fontId="17"/>
  </si>
  <si>
    <t>S 5-2</t>
    <phoneticPr fontId="21"/>
  </si>
  <si>
    <t>10-20</t>
    <phoneticPr fontId="21"/>
  </si>
  <si>
    <t>ヨレミグサ</t>
    <phoneticPr fontId="17"/>
  </si>
  <si>
    <t>40-43</t>
    <phoneticPr fontId="17"/>
  </si>
  <si>
    <t>エツキイワノカワ</t>
    <phoneticPr fontId="17"/>
  </si>
  <si>
    <t>10-20</t>
    <phoneticPr fontId="17"/>
  </si>
  <si>
    <t>50-60</t>
    <phoneticPr fontId="17"/>
  </si>
  <si>
    <t>60-70</t>
    <phoneticPr fontId="17"/>
  </si>
  <si>
    <t>70-80</t>
    <phoneticPr fontId="17"/>
  </si>
  <si>
    <t>80-90</t>
    <phoneticPr fontId="17"/>
  </si>
  <si>
    <t>90-100</t>
    <phoneticPr fontId="17"/>
  </si>
  <si>
    <t>100-110</t>
    <phoneticPr fontId="17"/>
  </si>
  <si>
    <t>110-120</t>
    <phoneticPr fontId="17"/>
  </si>
  <si>
    <t>120-130</t>
    <phoneticPr fontId="17"/>
  </si>
  <si>
    <t>ミル</t>
    <phoneticPr fontId="17"/>
  </si>
  <si>
    <t>ヒラミル</t>
    <phoneticPr fontId="17"/>
  </si>
  <si>
    <t>ハイミル</t>
    <phoneticPr fontId="17"/>
  </si>
  <si>
    <t>イシゲ</t>
    <phoneticPr fontId="17"/>
  </si>
  <si>
    <t>イソモク</t>
    <phoneticPr fontId="17"/>
  </si>
  <si>
    <t>ノコギリモク</t>
    <phoneticPr fontId="17"/>
  </si>
  <si>
    <t>ヤツマタモク</t>
    <phoneticPr fontId="17"/>
  </si>
  <si>
    <t>ソデガラミ</t>
    <phoneticPr fontId="17"/>
  </si>
  <si>
    <t>マクサ</t>
    <phoneticPr fontId="17"/>
  </si>
  <si>
    <t>タマイタダキ</t>
    <phoneticPr fontId="17"/>
  </si>
  <si>
    <t>ホソユカリ</t>
    <phoneticPr fontId="17"/>
  </si>
  <si>
    <t>ユカリ</t>
    <phoneticPr fontId="17"/>
  </si>
  <si>
    <t>40-50</t>
    <phoneticPr fontId="17"/>
  </si>
  <si>
    <t>130-140</t>
    <phoneticPr fontId="17"/>
  </si>
  <si>
    <t>140-150</t>
    <phoneticPr fontId="17"/>
  </si>
  <si>
    <t>ヤハズグサ</t>
    <phoneticPr fontId="17"/>
  </si>
  <si>
    <t>ウミウチワ</t>
    <phoneticPr fontId="17"/>
  </si>
  <si>
    <t>ワカメ</t>
    <phoneticPr fontId="17"/>
  </si>
  <si>
    <t>クロメ</t>
    <phoneticPr fontId="17"/>
  </si>
  <si>
    <t>マメタワラ</t>
    <phoneticPr fontId="17"/>
  </si>
  <si>
    <t>ヨレモク類（ホンダワラ類）</t>
    <rPh sb="4" eb="5">
      <t>ルイ</t>
    </rPh>
    <rPh sb="11" eb="12">
      <t>ルイ</t>
    </rPh>
    <phoneticPr fontId="17"/>
  </si>
  <si>
    <t>キヌクサ</t>
    <phoneticPr fontId="17"/>
  </si>
  <si>
    <t>モツレミル</t>
    <phoneticPr fontId="17"/>
  </si>
  <si>
    <t>ケヤリ</t>
    <phoneticPr fontId="17"/>
  </si>
  <si>
    <t>ヨレモク</t>
    <phoneticPr fontId="17"/>
  </si>
  <si>
    <t>ミゾオゴノリ</t>
    <phoneticPr fontId="17"/>
  </si>
  <si>
    <t>シラモ</t>
    <phoneticPr fontId="17"/>
  </si>
  <si>
    <t>タオヤギソウ</t>
    <phoneticPr fontId="17"/>
  </si>
  <si>
    <t>-</t>
    <phoneticPr fontId="17"/>
  </si>
  <si>
    <t>フクロノリ</t>
    <phoneticPr fontId="17"/>
  </si>
  <si>
    <t>ネザシミル</t>
    <phoneticPr fontId="17"/>
  </si>
  <si>
    <t>イバラノリ（イバラノリ属）</t>
    <rPh sb="11" eb="12">
      <t>ゾク</t>
    </rPh>
    <phoneticPr fontId="17"/>
  </si>
  <si>
    <r>
      <rPr>
        <b/>
        <sz val="9"/>
        <color rgb="FFFF0000"/>
        <rFont val="ＭＳ Ｐゴシック"/>
        <family val="3"/>
        <charset val="128"/>
      </rPr>
      <t>2</t>
    </r>
    <r>
      <rPr>
        <sz val="9"/>
        <color theme="1"/>
        <rFont val="ＭＳ Ｐゴシック"/>
        <family val="3"/>
        <charset val="128"/>
      </rPr>
      <t>/1</t>
    </r>
    <phoneticPr fontId="17"/>
  </si>
  <si>
    <r>
      <t>1/</t>
    </r>
    <r>
      <rPr>
        <b/>
        <sz val="9"/>
        <color rgb="FFFF0000"/>
        <rFont val="ＭＳ Ｐゴシック"/>
        <family val="3"/>
        <charset val="128"/>
      </rPr>
      <t>2</t>
    </r>
    <phoneticPr fontId="17"/>
  </si>
  <si>
    <r>
      <t>2/</t>
    </r>
    <r>
      <rPr>
        <b/>
        <sz val="9"/>
        <color rgb="FFFF0000"/>
        <rFont val="ＭＳ Ｐゴシック"/>
        <family val="3"/>
        <charset val="128"/>
      </rPr>
      <t>5</t>
    </r>
    <phoneticPr fontId="17"/>
  </si>
  <si>
    <r>
      <rPr>
        <b/>
        <sz val="9"/>
        <color rgb="FFFF0000"/>
        <rFont val="ＭＳ Ｐゴシック"/>
        <family val="3"/>
        <charset val="128"/>
      </rPr>
      <t>3</t>
    </r>
    <r>
      <rPr>
        <sz val="9"/>
        <color theme="1"/>
        <rFont val="ＭＳ Ｐゴシック"/>
        <family val="3"/>
        <charset val="128"/>
      </rPr>
      <t>/2</t>
    </r>
    <phoneticPr fontId="17"/>
  </si>
  <si>
    <t>S4-2</t>
    <phoneticPr fontId="17"/>
  </si>
  <si>
    <t>S5-2</t>
    <phoneticPr fontId="17"/>
  </si>
  <si>
    <t>S4-1</t>
    <phoneticPr fontId="17"/>
  </si>
  <si>
    <t>S5-1</t>
    <phoneticPr fontId="17"/>
  </si>
  <si>
    <t>クロメ場</t>
    <rPh sb="3" eb="4">
      <t>バ</t>
    </rPh>
    <phoneticPr fontId="17"/>
  </si>
  <si>
    <t>マジリモク場</t>
    <rPh sb="5" eb="6">
      <t>バ</t>
    </rPh>
    <phoneticPr fontId="17"/>
  </si>
  <si>
    <t>ノコギリモク場</t>
    <rPh sb="6" eb="7">
      <t>バ</t>
    </rPh>
    <phoneticPr fontId="17"/>
  </si>
  <si>
    <t>イソモク場</t>
    <rPh sb="4" eb="5">
      <t>バ</t>
    </rPh>
    <phoneticPr fontId="17"/>
  </si>
  <si>
    <t>有節サンゴモ場</t>
    <rPh sb="6" eb="7">
      <t>バ</t>
    </rPh>
    <phoneticPr fontId="17"/>
  </si>
  <si>
    <t>クロメ場・イチメガサ場</t>
    <rPh sb="3" eb="4">
      <t>バ</t>
    </rPh>
    <rPh sb="10" eb="11">
      <t>バ</t>
    </rPh>
    <phoneticPr fontId="17"/>
  </si>
  <si>
    <t>ヨレモク場</t>
    <rPh sb="4" eb="5">
      <t>バ</t>
    </rPh>
    <phoneticPr fontId="17"/>
  </si>
  <si>
    <t>マメタワラ場</t>
    <rPh sb="5" eb="6">
      <t>バ</t>
    </rPh>
    <phoneticPr fontId="17"/>
  </si>
  <si>
    <t>有節サンゴモ場・ノコギリモク場</t>
    <rPh sb="6" eb="7">
      <t>バ</t>
    </rPh>
    <rPh sb="14" eb="15">
      <t>バ</t>
    </rPh>
    <phoneticPr fontId="17"/>
  </si>
  <si>
    <t>2-4.2</t>
    <phoneticPr fontId="17"/>
  </si>
  <si>
    <t>4.2-5.9</t>
    <phoneticPr fontId="17"/>
  </si>
  <si>
    <t>5.9-7.25</t>
    <phoneticPr fontId="17"/>
  </si>
  <si>
    <t>7.25-7.65</t>
    <phoneticPr fontId="17"/>
  </si>
  <si>
    <t>8.4-11.8</t>
    <phoneticPr fontId="17"/>
  </si>
  <si>
    <t>0.85-6.45</t>
    <phoneticPr fontId="17"/>
  </si>
  <si>
    <t>補正後面積（ha)</t>
    <phoneticPr fontId="17"/>
  </si>
  <si>
    <t>空撮面積 (ha)</t>
    <rPh sb="0" eb="2">
      <t>クウサツ</t>
    </rPh>
    <rPh sb="2" eb="4">
      <t>メンセキ</t>
    </rPh>
    <phoneticPr fontId="17"/>
  </si>
  <si>
    <t>藻場礁別
合計面積 (ha)</t>
    <rPh sb="0" eb="4">
      <t>モバショウベツ</t>
    </rPh>
    <rPh sb="5" eb="9">
      <t>ゴウケイメンセキ</t>
    </rPh>
    <phoneticPr fontId="17"/>
  </si>
  <si>
    <t>藻場面積
 (ha)</t>
    <rPh sb="0" eb="4">
      <t>モバメンセキ</t>
    </rPh>
    <phoneticPr fontId="17"/>
  </si>
  <si>
    <t>ノコギリモク場・クロメ場</t>
    <rPh sb="11" eb="12">
      <t>バ</t>
    </rPh>
    <phoneticPr fontId="17"/>
  </si>
  <si>
    <t>ワカメ場・ウミウチワ場</t>
    <rPh sb="3" eb="4">
      <t>バ</t>
    </rPh>
    <rPh sb="10" eb="11">
      <t>バ</t>
    </rPh>
    <phoneticPr fontId="17"/>
  </si>
  <si>
    <t>ヤハズグサ場</t>
    <rPh sb="5" eb="6">
      <t>バ</t>
    </rPh>
    <phoneticPr fontId="17"/>
  </si>
  <si>
    <t>沿岸延長(m)</t>
    <rPh sb="0" eb="2">
      <t>エンガン</t>
    </rPh>
    <rPh sb="2" eb="4">
      <t>エンチョウ</t>
    </rPh>
    <phoneticPr fontId="17"/>
  </si>
  <si>
    <t>クロメ場・ケヤリ場・キヌクサ場・ヌラクサ場・タオヤギソウ場</t>
    <rPh sb="3" eb="4">
      <t>バ</t>
    </rPh>
    <rPh sb="8" eb="9">
      <t>バ</t>
    </rPh>
    <rPh sb="14" eb="15">
      <t>バ</t>
    </rPh>
    <rPh sb="20" eb="21">
      <t>バ</t>
    </rPh>
    <rPh sb="28" eb="29">
      <t>バ</t>
    </rPh>
    <phoneticPr fontId="17"/>
  </si>
  <si>
    <t>ワカメ場・クロメ場・ヌラクサ場・シラモ場・カバノリ場</t>
    <rPh sb="3" eb="4">
      <t>バ</t>
    </rPh>
    <rPh sb="8" eb="9">
      <t>バ</t>
    </rPh>
    <rPh sb="14" eb="15">
      <t>バ</t>
    </rPh>
    <rPh sb="19" eb="20">
      <t>バ</t>
    </rPh>
    <rPh sb="25" eb="26">
      <t>バ</t>
    </rPh>
    <phoneticPr fontId="17"/>
  </si>
  <si>
    <t>モツレミル場・クロメ場・ノコギリモク場・ヌラクサ場・
ミゾオゴノリ場・タオヤギソウ場</t>
    <rPh sb="5" eb="6">
      <t>バ</t>
    </rPh>
    <rPh sb="10" eb="11">
      <t>バ</t>
    </rPh>
    <rPh sb="18" eb="19">
      <t>バ</t>
    </rPh>
    <rPh sb="24" eb="25">
      <t>バ</t>
    </rPh>
    <rPh sb="33" eb="34">
      <t>バ</t>
    </rPh>
    <rPh sb="41" eb="42">
      <t>バ</t>
    </rPh>
    <phoneticPr fontId="17"/>
  </si>
  <si>
    <t>対象藻場面積（ha）</t>
    <rPh sb="0" eb="2">
      <t>タイショウ</t>
    </rPh>
    <rPh sb="2" eb="4">
      <t>モバ</t>
    </rPh>
    <rPh sb="4" eb="6">
      <t>メンセキ</t>
    </rPh>
    <phoneticPr fontId="17"/>
  </si>
  <si>
    <t>←S1-S3よりマジリモク場、被度3を使用</t>
    <rPh sb="13" eb="14">
      <t>バ</t>
    </rPh>
    <rPh sb="15" eb="17">
      <t>ヒド</t>
    </rPh>
    <rPh sb="19" eb="21">
      <t>シヨウ</t>
    </rPh>
    <phoneticPr fontId="17"/>
  </si>
  <si>
    <t>←対象藻場面積×斜面距離/斜面距離の合計×面積補正値</t>
    <rPh sb="1" eb="3">
      <t>タイショウ</t>
    </rPh>
    <rPh sb="3" eb="7">
      <t>モバメンセキ</t>
    </rPh>
    <rPh sb="8" eb="12">
      <t>シャメンキョリ</t>
    </rPh>
    <rPh sb="13" eb="17">
      <t>シャメンキョリ</t>
    </rPh>
    <rPh sb="18" eb="20">
      <t>ゴウケイ</t>
    </rPh>
    <rPh sb="21" eb="26">
      <t>メンセキホセイチ</t>
    </rPh>
    <phoneticPr fontId="17"/>
  </si>
  <si>
    <t>補正後面積</t>
    <rPh sb="0" eb="2">
      <t>ホセイ</t>
    </rPh>
    <rPh sb="2" eb="3">
      <t>ゴ</t>
    </rPh>
    <rPh sb="3" eb="5">
      <t>メンセキ</t>
    </rPh>
    <phoneticPr fontId="17"/>
  </si>
  <si>
    <t>藻場別合計</t>
    <rPh sb="0" eb="2">
      <t>モバ</t>
    </rPh>
    <rPh sb="2" eb="3">
      <t>ベツ</t>
    </rPh>
    <rPh sb="3" eb="5">
      <t>ゴウケイ</t>
    </rPh>
    <phoneticPr fontId="17"/>
  </si>
  <si>
    <t>st1対象藻場</t>
    <rPh sb="3" eb="5">
      <t>タイショウ</t>
    </rPh>
    <rPh sb="5" eb="7">
      <t>モバ</t>
    </rPh>
    <phoneticPr fontId="17"/>
  </si>
  <si>
    <t>St2対象藻場</t>
    <rPh sb="3" eb="5">
      <t>タイショウ</t>
    </rPh>
    <rPh sb="5" eb="7">
      <t>モバ</t>
    </rPh>
    <phoneticPr fontId="17"/>
  </si>
  <si>
    <t>St3対象藻場</t>
    <rPh sb="3" eb="5">
      <t>タイショウ</t>
    </rPh>
    <rPh sb="5" eb="7">
      <t>モバ</t>
    </rPh>
    <phoneticPr fontId="17"/>
  </si>
  <si>
    <t>ha</t>
    <phoneticPr fontId="17"/>
  </si>
  <si>
    <t>ドローン画像</t>
    <rPh sb="4" eb="6">
      <t>ガゾウ</t>
    </rPh>
    <phoneticPr fontId="17"/>
  </si>
  <si>
    <t>クロメ場・ウミウチワ場・有節サンゴモ場・マクサ場</t>
    <rPh sb="3" eb="4">
      <t>バ</t>
    </rPh>
    <rPh sb="10" eb="11">
      <t>バ</t>
    </rPh>
    <rPh sb="11" eb="12">
      <t>コバ</t>
    </rPh>
    <rPh sb="12" eb="14">
      <t>ユウセツ</t>
    </rPh>
    <rPh sb="18" eb="19">
      <t>バ</t>
    </rPh>
    <rPh sb="23" eb="24">
      <t>バ</t>
    </rPh>
    <phoneticPr fontId="17"/>
  </si>
  <si>
    <t>湿重量 (tWW)</t>
    <rPh sb="0" eb="3">
      <t>シツジュウリョウ</t>
    </rPh>
    <phoneticPr fontId="17"/>
  </si>
  <si>
    <t>合計</t>
    <rPh sb="0" eb="1">
      <t>ゴウ</t>
    </rPh>
    <rPh sb="1" eb="2">
      <t>ケイ</t>
    </rPh>
    <phoneticPr fontId="17"/>
  </si>
  <si>
    <t>マジリモク場</t>
    <rPh sb="5" eb="6">
      <t>バ</t>
    </rPh>
    <phoneticPr fontId="27"/>
  </si>
  <si>
    <t>小型紅藻</t>
    <rPh sb="0" eb="2">
      <t>コガタ</t>
    </rPh>
    <rPh sb="2" eb="4">
      <t>コウソウ</t>
    </rPh>
    <phoneticPr fontId="17"/>
  </si>
  <si>
    <t>小型褐藻</t>
    <rPh sb="0" eb="2">
      <t>コガタ</t>
    </rPh>
    <rPh sb="2" eb="4">
      <t>カッソウ</t>
    </rPh>
    <phoneticPr fontId="17"/>
  </si>
  <si>
    <t>漁港の生態系構造と生物現存量の推定（三浦ほか,
土木学会論文集B2(海岸工学),2013）</t>
    <phoneticPr fontId="17"/>
  </si>
  <si>
    <t>手引き</t>
    <rPh sb="0" eb="2">
      <t>テビ</t>
    </rPh>
    <phoneticPr fontId="17"/>
  </si>
  <si>
    <t>参照</t>
    <rPh sb="0" eb="2">
      <t>サンショウ</t>
    </rPh>
    <phoneticPr fontId="17"/>
  </si>
  <si>
    <t>改訂磯焼け対策ガイドライン（令和3年3月,水産庁）</t>
    <phoneticPr fontId="17"/>
  </si>
  <si>
    <t>S1</t>
  </si>
  <si>
    <t>BC量</t>
    <rPh sb="2" eb="3">
      <t>リョウ</t>
    </rPh>
    <phoneticPr fontId="17"/>
  </si>
  <si>
    <t>藻場礁</t>
    <rPh sb="0" eb="3">
      <t>モバショウ</t>
    </rPh>
    <phoneticPr fontId="17"/>
  </si>
  <si>
    <t>GISポリゴン</t>
    <phoneticPr fontId="17"/>
  </si>
  <si>
    <t>要確認</t>
    <rPh sb="0" eb="3">
      <t>ヨウカクニン</t>
    </rPh>
    <phoneticPr fontId="17"/>
  </si>
  <si>
    <t>測線距離（m)</t>
    <rPh sb="0" eb="2">
      <t>ソクセン</t>
    </rPh>
    <rPh sb="2" eb="4">
      <t>キョリ</t>
    </rPh>
    <phoneticPr fontId="17"/>
  </si>
  <si>
    <t>空撮画像</t>
    <rPh sb="0" eb="2">
      <t>クウサツ</t>
    </rPh>
    <rPh sb="2" eb="4">
      <t>ガゾウ</t>
    </rPh>
    <phoneticPr fontId="17"/>
  </si>
  <si>
    <t>発酵原料としての利用を視野とした 海藻草類の収集と成分調査→紅藻平均値
（函館港西防波堤背後盛土の環境調査と同手段）</t>
    <rPh sb="30" eb="32">
      <t>コウソウ</t>
    </rPh>
    <rPh sb="32" eb="35">
      <t>ヘイキンチ</t>
    </rPh>
    <rPh sb="54" eb="55">
      <t>オナ</t>
    </rPh>
    <rPh sb="55" eb="57">
      <t>シュダン</t>
    </rPh>
    <phoneticPr fontId="17"/>
  </si>
  <si>
    <t>総計</t>
  </si>
  <si>
    <t>0-5</t>
  </si>
  <si>
    <t>5-10</t>
  </si>
  <si>
    <t>10-15</t>
  </si>
  <si>
    <t>15-20</t>
  </si>
  <si>
    <t>20-25</t>
  </si>
  <si>
    <t>25-30</t>
  </si>
  <si>
    <t>30-35</t>
  </si>
  <si>
    <t>35-40</t>
  </si>
  <si>
    <t>40-45</t>
  </si>
  <si>
    <t>45-50</t>
  </si>
  <si>
    <t>50-55</t>
  </si>
  <si>
    <t>55-60</t>
  </si>
  <si>
    <t>60-65</t>
  </si>
  <si>
    <t>65-70</t>
  </si>
  <si>
    <t>70-75</t>
  </si>
  <si>
    <t>75-80</t>
  </si>
  <si>
    <t>80-85</t>
  </si>
  <si>
    <t>85-90</t>
  </si>
  <si>
    <t>90-95</t>
  </si>
  <si>
    <t>95-100</t>
  </si>
  <si>
    <t>100-105</t>
  </si>
  <si>
    <t>105-110</t>
  </si>
  <si>
    <t>110-115</t>
  </si>
  <si>
    <t>115-120</t>
  </si>
  <si>
    <t>120-125</t>
  </si>
  <si>
    <t>125-130</t>
  </si>
  <si>
    <t>130-135</t>
  </si>
  <si>
    <t>135-140</t>
  </si>
  <si>
    <t>140-145</t>
  </si>
  <si>
    <t>145-150</t>
  </si>
  <si>
    <t>150-155</t>
  </si>
  <si>
    <t>155-160</t>
  </si>
  <si>
    <t>160-165</t>
  </si>
  <si>
    <t>165-170</t>
  </si>
  <si>
    <t>170-175</t>
  </si>
  <si>
    <t>175-180</t>
  </si>
  <si>
    <t>180-185</t>
  </si>
  <si>
    <t>185-190</t>
  </si>
  <si>
    <t>ミル場・タマミル場・ヤハズグサ場・アミジグサ場・オウギ科場
・有節サンゴモ場・トサカノリ場・カバノリ場</t>
    <rPh sb="2" eb="3">
      <t>バ</t>
    </rPh>
    <rPh sb="8" eb="9">
      <t>バ</t>
    </rPh>
    <rPh sb="15" eb="16">
      <t>バ</t>
    </rPh>
    <rPh sb="22" eb="23">
      <t>バ</t>
    </rPh>
    <rPh sb="27" eb="28">
      <t>カ</t>
    </rPh>
    <rPh sb="28" eb="29">
      <t>バ</t>
    </rPh>
    <rPh sb="31" eb="33">
      <t>ユウセツ</t>
    </rPh>
    <rPh sb="37" eb="38">
      <t>バ</t>
    </rPh>
    <rPh sb="44" eb="45">
      <t>バ</t>
    </rPh>
    <rPh sb="50" eb="51">
      <t>バ</t>
    </rPh>
    <phoneticPr fontId="17"/>
  </si>
  <si>
    <t>バッファー</t>
    <phoneticPr fontId="17"/>
  </si>
  <si>
    <t>イソモク場（ガラモ場）</t>
    <rPh sb="4" eb="5">
      <t>バ</t>
    </rPh>
    <rPh sb="9" eb="10">
      <t>バ</t>
    </rPh>
    <phoneticPr fontId="17"/>
  </si>
  <si>
    <t>有節サンゴモ場（小型紅藻）</t>
    <rPh sb="8" eb="10">
      <t>コガタ</t>
    </rPh>
    <rPh sb="10" eb="11">
      <t>ベニ</t>
    </rPh>
    <rPh sb="11" eb="12">
      <t>モ</t>
    </rPh>
    <phoneticPr fontId="17"/>
  </si>
  <si>
    <t>ノコギリモク場（ガラモ場）</t>
    <rPh sb="6" eb="7">
      <t>バ</t>
    </rPh>
    <rPh sb="11" eb="12">
      <t>バ</t>
    </rPh>
    <phoneticPr fontId="17"/>
  </si>
  <si>
    <t>ヨレモク場（ガラモ場）</t>
    <rPh sb="4" eb="5">
      <t>バ</t>
    </rPh>
    <rPh sb="9" eb="10">
      <t>バ</t>
    </rPh>
    <phoneticPr fontId="17"/>
  </si>
  <si>
    <t>有節サンゴモ場（小型紅藻）</t>
    <rPh sb="6" eb="7">
      <t>バ</t>
    </rPh>
    <phoneticPr fontId="17"/>
  </si>
  <si>
    <t>算定対象</t>
    <rPh sb="0" eb="2">
      <t>サンテイ</t>
    </rPh>
    <rPh sb="2" eb="4">
      <t>タイショウ</t>
    </rPh>
    <phoneticPr fontId="17"/>
  </si>
  <si>
    <t>春藻場</t>
    <phoneticPr fontId="17"/>
  </si>
  <si>
    <t>藻場礁</t>
    <phoneticPr fontId="17"/>
  </si>
  <si>
    <t>ガラモ場</t>
    <rPh sb="3" eb="4">
      <t>バ</t>
    </rPh>
    <phoneticPr fontId="17"/>
  </si>
  <si>
    <t>St.1</t>
    <phoneticPr fontId="17"/>
  </si>
  <si>
    <t>ST.2</t>
    <phoneticPr fontId="17"/>
  </si>
  <si>
    <t>ST.3</t>
  </si>
  <si>
    <t>アラメ場</t>
    <rPh sb="3" eb="4">
      <t>バ</t>
    </rPh>
    <phoneticPr fontId="17"/>
  </si>
  <si>
    <t/>
  </si>
  <si>
    <t>St.3</t>
    <phoneticPr fontId="17"/>
  </si>
  <si>
    <t>-3.2m</t>
    <phoneticPr fontId="17"/>
  </si>
  <si>
    <t>-7.3m</t>
    <phoneticPr fontId="17"/>
  </si>
  <si>
    <t>-11.3m</t>
    <phoneticPr fontId="17"/>
  </si>
  <si>
    <t>-2.3m</t>
    <phoneticPr fontId="17"/>
  </si>
  <si>
    <t>-6m</t>
    <phoneticPr fontId="17"/>
  </si>
  <si>
    <t>-7.5m</t>
    <phoneticPr fontId="17"/>
  </si>
  <si>
    <t>-1.5m</t>
    <phoneticPr fontId="17"/>
  </si>
  <si>
    <t>-4.6m</t>
    <phoneticPr fontId="17"/>
  </si>
  <si>
    <t>-10.9m</t>
    <phoneticPr fontId="17"/>
  </si>
  <si>
    <t>-3.5m</t>
    <phoneticPr fontId="17"/>
  </si>
  <si>
    <t>ガラモ場</t>
    <rPh sb="2" eb="3">
      <t>バ</t>
    </rPh>
    <phoneticPr fontId="17"/>
  </si>
  <si>
    <t>アラメ場</t>
    <rPh sb="2" eb="3">
      <t>バ</t>
    </rPh>
    <phoneticPr fontId="17"/>
  </si>
  <si>
    <t>全湿重量（gWW）</t>
    <rPh sb="0" eb="1">
      <t>ゼン</t>
    </rPh>
    <rPh sb="1" eb="4">
      <t>シツジュウリョウ</t>
    </rPh>
    <phoneticPr fontId="17"/>
  </si>
  <si>
    <t>坪刈り面積（m2）</t>
    <rPh sb="0" eb="2">
      <t>ツボガ</t>
    </rPh>
    <rPh sb="3" eb="5">
      <t>メンセキ</t>
    </rPh>
    <phoneticPr fontId="17"/>
  </si>
  <si>
    <t>単位面積あたりの湿重量（gWW/m2）</t>
    <rPh sb="0" eb="4">
      <t>タンイメンセキ</t>
    </rPh>
    <rPh sb="8" eb="11">
      <t>シツジュウリョウ</t>
    </rPh>
    <phoneticPr fontId="21"/>
  </si>
  <si>
    <t>単位面積あたりの湿重量（kgWW/m2）</t>
    <rPh sb="0" eb="4">
      <t>タンイメンセキ</t>
    </rPh>
    <rPh sb="8" eb="11">
      <t>シツジュウリョウ</t>
    </rPh>
    <phoneticPr fontId="21"/>
  </si>
  <si>
    <t>単位面積あたりの湿重量（tWW/ha）</t>
    <rPh sb="0" eb="4">
      <t>タンイメンセキ</t>
    </rPh>
    <rPh sb="8" eb="11">
      <t>シツジュウリョウ</t>
    </rPh>
    <phoneticPr fontId="21"/>
  </si>
  <si>
    <t>St.4
（コントロール）</t>
    <phoneticPr fontId="17"/>
  </si>
  <si>
    <t>各測線における藻場タイプごとの全湿重量（gWW）</t>
    <rPh sb="0" eb="1">
      <t>カク</t>
    </rPh>
    <rPh sb="1" eb="3">
      <t>ソクセン</t>
    </rPh>
    <rPh sb="7" eb="8">
      <t>モ</t>
    </rPh>
    <rPh sb="8" eb="9">
      <t>バ</t>
    </rPh>
    <rPh sb="15" eb="16">
      <t>ゼン</t>
    </rPh>
    <rPh sb="16" eb="19">
      <t>シツジュウリョウ</t>
    </rPh>
    <phoneticPr fontId="17"/>
  </si>
  <si>
    <t>-8.3m</t>
    <phoneticPr fontId="17"/>
  </si>
  <si>
    <t>-8.7m</t>
    <phoneticPr fontId="17"/>
  </si>
  <si>
    <t>-12.7m</t>
    <phoneticPr fontId="17"/>
  </si>
  <si>
    <t>-8.4m</t>
    <phoneticPr fontId="17"/>
  </si>
  <si>
    <t>-8.9m</t>
    <phoneticPr fontId="17"/>
  </si>
  <si>
    <t>藻場別合計（ha)</t>
    <rPh sb="0" eb="2">
      <t>モバ</t>
    </rPh>
    <rPh sb="2" eb="3">
      <t>ベツ</t>
    </rPh>
    <rPh sb="3" eb="5">
      <t>ゴウケイ</t>
    </rPh>
    <phoneticPr fontId="17"/>
  </si>
  <si>
    <r>
      <t>Sargassum hemiphyllum (Turner) C. Agardh</t>
    </r>
    <r>
      <rPr>
        <i/>
        <sz val="11"/>
        <color theme="1"/>
        <rFont val="Tahoma"/>
        <family val="3"/>
        <charset val="1"/>
      </rPr>
      <t>﻿</t>
    </r>
    <phoneticPr fontId="17"/>
  </si>
  <si>
    <t>10-65</t>
    <phoneticPr fontId="17"/>
  </si>
  <si>
    <t>90-105</t>
    <phoneticPr fontId="17"/>
  </si>
  <si>
    <t>0-30</t>
    <phoneticPr fontId="17"/>
  </si>
  <si>
    <t>30-100</t>
    <phoneticPr fontId="17"/>
  </si>
  <si>
    <t>0-20</t>
    <phoneticPr fontId="17"/>
  </si>
  <si>
    <t>30-35</t>
    <phoneticPr fontId="17"/>
  </si>
  <si>
    <t>35-60</t>
    <phoneticPr fontId="17"/>
  </si>
  <si>
    <t>S3</t>
    <phoneticPr fontId="17"/>
  </si>
  <si>
    <t>S4</t>
    <phoneticPr fontId="17"/>
  </si>
  <si>
    <t>S5</t>
    <phoneticPr fontId="17"/>
  </si>
  <si>
    <t>面積</t>
    <rPh sb="0" eb="2">
      <t>メンセキ</t>
    </rPh>
    <phoneticPr fontId="17"/>
  </si>
  <si>
    <t>65-80</t>
    <phoneticPr fontId="17"/>
  </si>
  <si>
    <t>小型褐藻場</t>
    <rPh sb="0" eb="1">
      <t>コガタ</t>
    </rPh>
    <rPh sb="1" eb="3">
      <t>カッソウ</t>
    </rPh>
    <rPh sb="4" eb="5">
      <t>バ</t>
    </rPh>
    <phoneticPr fontId="17"/>
  </si>
  <si>
    <t>小型紅藻場</t>
    <rPh sb="4" eb="5">
      <t>バ</t>
    </rPh>
    <phoneticPr fontId="17"/>
  </si>
  <si>
    <t>三陸沿岸における炭素吸収量把握の試み（東北水研ニュース No. 65、平成15年6月 ）</t>
    <phoneticPr fontId="17"/>
  </si>
  <si>
    <t>広島湾の岩礁性藻場をつくる海藻の現存量とその季節変化（内村ら、2003）</t>
    <rPh sb="0" eb="2">
      <t>ヒロシマ</t>
    </rPh>
    <rPh sb="2" eb="3">
      <t>ワン</t>
    </rPh>
    <rPh sb="4" eb="6">
      <t>ガンショウ</t>
    </rPh>
    <rPh sb="6" eb="7">
      <t>セイ</t>
    </rPh>
    <rPh sb="7" eb="8">
      <t>モ</t>
    </rPh>
    <rPh sb="8" eb="9">
      <t>バ</t>
    </rPh>
    <rPh sb="13" eb="15">
      <t>カイソウ</t>
    </rPh>
    <rPh sb="16" eb="18">
      <t>ゲンゾン</t>
    </rPh>
    <rPh sb="18" eb="19">
      <t>リョウ</t>
    </rPh>
    <rPh sb="22" eb="24">
      <t>キセツ</t>
    </rPh>
    <rPh sb="24" eb="26">
      <t>ヘンカ</t>
    </rPh>
    <rPh sb="27" eb="29">
      <t>ウチムラ</t>
    </rPh>
    <phoneticPr fontId="17"/>
  </si>
  <si>
    <t>JBE ver2.5</t>
    <phoneticPr fontId="25"/>
  </si>
  <si>
    <t>沿岸域生態系を利用した炭素固定技術の開発, (公財)JFE21世紀財団 研究助成の2020年度技術研究報告書（2020年1月 - 2020年12月助成）</t>
    <phoneticPr fontId="17"/>
  </si>
  <si>
    <t>測線</t>
    <rPh sb="0" eb="2">
      <t>ソクセン</t>
    </rPh>
    <phoneticPr fontId="17"/>
  </si>
  <si>
    <t>単位:ha</t>
    <rPh sb="0" eb="2">
      <t>タンイ</t>
    </rPh>
    <phoneticPr fontId="21"/>
  </si>
  <si>
    <t>ガラモ場</t>
    <phoneticPr fontId="17"/>
  </si>
  <si>
    <t>面積（ha)</t>
    <rPh sb="0" eb="2">
      <t>メンセキ</t>
    </rPh>
    <phoneticPr fontId="17"/>
  </si>
  <si>
    <t>GISにより算出した面積</t>
    <rPh sb="6" eb="8">
      <t>サンシュツ</t>
    </rPh>
    <rPh sb="10" eb="12">
      <t>メンセキ</t>
    </rPh>
    <phoneticPr fontId="17"/>
  </si>
  <si>
    <t>平均値</t>
    <rPh sb="0" eb="3">
      <t>ヘイキンチ</t>
    </rPh>
    <phoneticPr fontId="17"/>
  </si>
  <si>
    <t>St.4
対照区</t>
    <rPh sb="5" eb="8">
      <t>タイショウク</t>
    </rPh>
    <phoneticPr fontId="17"/>
  </si>
  <si>
    <t>小型褐藻・小型紅藻</t>
    <rPh sb="0" eb="2">
      <t>コガタ</t>
    </rPh>
    <rPh sb="2" eb="4">
      <t>カッソウ</t>
    </rPh>
    <rPh sb="5" eb="7">
      <t>コガタ</t>
    </rPh>
    <rPh sb="7" eb="9">
      <t>コウソウ</t>
    </rPh>
    <phoneticPr fontId="17"/>
  </si>
  <si>
    <t>面積補正値
A</t>
    <rPh sb="0" eb="2">
      <t>メンセキ</t>
    </rPh>
    <rPh sb="2" eb="5">
      <t>ホセイチ</t>
    </rPh>
    <phoneticPr fontId="17"/>
  </si>
  <si>
    <t>測線距離（m)
B</t>
    <rPh sb="0" eb="2">
      <t>ソクセン</t>
    </rPh>
    <rPh sb="2" eb="4">
      <t>キョリ</t>
    </rPh>
    <phoneticPr fontId="17"/>
  </si>
  <si>
    <t>面積（ha）
D＝B×C</t>
    <rPh sb="0" eb="2">
      <t>メンセキ</t>
    </rPh>
    <phoneticPr fontId="17"/>
  </si>
  <si>
    <t>実勢
面積（ha)
A×D</t>
    <rPh sb="0" eb="2">
      <t>ジッセイ</t>
    </rPh>
    <rPh sb="3" eb="5">
      <t>メンセキ</t>
    </rPh>
    <phoneticPr fontId="17"/>
  </si>
  <si>
    <t>藻場タイプ毎の面積
（ha)</t>
    <rPh sb="0" eb="1">
      <t>モ</t>
    </rPh>
    <rPh sb="1" eb="2">
      <t>バ</t>
    </rPh>
    <rPh sb="5" eb="6">
      <t>ゴト</t>
    </rPh>
    <rPh sb="7" eb="9">
      <t>メンセキ</t>
    </rPh>
    <phoneticPr fontId="17"/>
  </si>
  <si>
    <t>St.4
（対照区）</t>
    <rPh sb="6" eb="9">
      <t>タイショウク</t>
    </rPh>
    <phoneticPr fontId="17"/>
  </si>
  <si>
    <t>実勢面積(ha)
A</t>
    <rPh sb="0" eb="2">
      <t>ジッセイ</t>
    </rPh>
    <rPh sb="2" eb="4">
      <t>メンセキ</t>
    </rPh>
    <phoneticPr fontId="17"/>
  </si>
  <si>
    <t>単位面積当たりの湿重量
（tWW/ha)
B</t>
    <rPh sb="0" eb="4">
      <t>タンイメンセキ</t>
    </rPh>
    <rPh sb="4" eb="5">
      <t>ア</t>
    </rPh>
    <rPh sb="8" eb="11">
      <t>シツジュウリョウ</t>
    </rPh>
    <phoneticPr fontId="17"/>
  </si>
  <si>
    <t>湿重量 (tWW)
C＝A×B</t>
    <rPh sb="0" eb="3">
      <t>シツジュウリョウ</t>
    </rPh>
    <phoneticPr fontId="17"/>
  </si>
  <si>
    <t>CO2吸収量
（t-CO2/年）</t>
    <rPh sb="3" eb="6">
      <t>キュウシュウリョウ</t>
    </rPh>
    <rPh sb="14" eb="15">
      <t>ネン</t>
    </rPh>
    <phoneticPr fontId="17"/>
  </si>
  <si>
    <t>合計
CO2吸収量
（t-CO2/年）
D</t>
    <rPh sb="6" eb="9">
      <t>キュウシュウリョウ</t>
    </rPh>
    <phoneticPr fontId="17"/>
  </si>
  <si>
    <t>吸収係数
D/A</t>
    <rPh sb="0" eb="4">
      <t>キュウシュウケイスウ</t>
    </rPh>
    <phoneticPr fontId="17"/>
  </si>
  <si>
    <t>面積
（ha)
C</t>
    <rPh sb="0" eb="2">
      <t>メンセキ</t>
    </rPh>
    <phoneticPr fontId="17"/>
  </si>
  <si>
    <t>実勢面積（ha)
A×C</t>
    <rPh sb="0" eb="2">
      <t>ジッセイ</t>
    </rPh>
    <phoneticPr fontId="17"/>
  </si>
  <si>
    <t>面積（測線距離×沿岸線長）　
C</t>
    <rPh sb="0" eb="2">
      <t>メンセキ</t>
    </rPh>
    <rPh sb="3" eb="7">
      <t>ソクセンキョリ</t>
    </rPh>
    <rPh sb="8" eb="10">
      <t>エンガン</t>
    </rPh>
    <rPh sb="10" eb="11">
      <t>セン</t>
    </rPh>
    <rPh sb="11" eb="12">
      <t>チョウ</t>
    </rPh>
    <phoneticPr fontId="17"/>
  </si>
  <si>
    <t>春藻場</t>
    <rPh sb="0" eb="1">
      <t>ハル</t>
    </rPh>
    <rPh sb="1" eb="2">
      <t>モ</t>
    </rPh>
    <rPh sb="2" eb="3">
      <t>バ</t>
    </rPh>
    <phoneticPr fontId="17"/>
  </si>
  <si>
    <t>藻場礁</t>
    <rPh sb="0" eb="1">
      <t>モ</t>
    </rPh>
    <rPh sb="1" eb="2">
      <t>バ</t>
    </rPh>
    <rPh sb="2" eb="3">
      <t>ショウ</t>
    </rPh>
    <phoneticPr fontId="17"/>
  </si>
  <si>
    <t>単位面積当たりの湿重量
（tWW/ha)</t>
    <rPh sb="0" eb="4">
      <t>タンイメンセキ</t>
    </rPh>
    <rPh sb="4" eb="5">
      <t>ア</t>
    </rPh>
    <rPh sb="8" eb="11">
      <t>シツジュウリョウ</t>
    </rPh>
    <phoneticPr fontId="17"/>
  </si>
  <si>
    <t>項目1</t>
    <rPh sb="0" eb="2">
      <t>コウモク</t>
    </rPh>
    <phoneticPr fontId="17"/>
  </si>
  <si>
    <t>項目2</t>
    <rPh sb="0" eb="2">
      <t>コウモク</t>
    </rPh>
    <phoneticPr fontId="17"/>
  </si>
  <si>
    <t>項目3</t>
    <rPh sb="0" eb="2">
      <t>コウモク</t>
    </rPh>
    <phoneticPr fontId="17"/>
  </si>
  <si>
    <t>項目4</t>
    <rPh sb="0" eb="2">
      <t>コウモク</t>
    </rPh>
    <phoneticPr fontId="17"/>
  </si>
  <si>
    <t>項目5</t>
    <rPh sb="0" eb="2">
      <t>コウモク</t>
    </rPh>
    <phoneticPr fontId="17"/>
  </si>
  <si>
    <t>項目6</t>
    <rPh sb="0" eb="2">
      <t>コウモク</t>
    </rPh>
    <phoneticPr fontId="17"/>
  </si>
  <si>
    <t>項目7</t>
    <rPh sb="0" eb="2">
      <t>コウモク</t>
    </rPh>
    <phoneticPr fontId="17"/>
  </si>
  <si>
    <t>項目8</t>
    <rPh sb="0" eb="2">
      <t>コウモク</t>
    </rPh>
    <phoneticPr fontId="17"/>
  </si>
  <si>
    <t>湿重量 (tWW)
A×B</t>
    <rPh sb="0" eb="3">
      <t>シツジュウリョウ</t>
    </rPh>
    <phoneticPr fontId="17"/>
  </si>
  <si>
    <t>藻場タイプ毎の面積
（合計値）
A</t>
    <rPh sb="0" eb="1">
      <t>モ</t>
    </rPh>
    <rPh sb="1" eb="2">
      <t>バ</t>
    </rPh>
    <rPh sb="5" eb="6">
      <t>ゴト</t>
    </rPh>
    <rPh sb="7" eb="9">
      <t>メンセキ</t>
    </rPh>
    <rPh sb="11" eb="14">
      <t>ゴウケイチ</t>
    </rPh>
    <phoneticPr fontId="17"/>
  </si>
  <si>
    <t>単位面積当たりの湿重量（平均値）
（tWW/ha)
B</t>
    <rPh sb="0" eb="4">
      <t>タンイメンセキ</t>
    </rPh>
    <rPh sb="4" eb="5">
      <t>ア</t>
    </rPh>
    <rPh sb="8" eb="11">
      <t>シツジュウリョウ</t>
    </rPh>
    <rPh sb="12" eb="15">
      <t>ヘイキンチ</t>
    </rPh>
    <phoneticPr fontId="17"/>
  </si>
  <si>
    <t>バッファー(ha)
A</t>
    <phoneticPr fontId="17"/>
  </si>
  <si>
    <t>藻場礁
の幅(m)
C</t>
    <rPh sb="0" eb="1">
      <t>モ</t>
    </rPh>
    <rPh sb="1" eb="2">
      <t>バ</t>
    </rPh>
    <rPh sb="2" eb="3">
      <t>ショウ</t>
    </rPh>
    <rPh sb="5" eb="6">
      <t>ハバ</t>
    </rPh>
    <phoneticPr fontId="17"/>
  </si>
  <si>
    <t>測線距離
（m）
B</t>
    <rPh sb="0" eb="2">
      <t>ソクセン</t>
    </rPh>
    <rPh sb="2" eb="4">
      <t>キョリ</t>
    </rPh>
    <phoneticPr fontId="17"/>
  </si>
  <si>
    <t>測線距離（ｍ）
B</t>
    <rPh sb="0" eb="2">
      <t>ソクセン</t>
    </rPh>
    <rPh sb="2" eb="4">
      <t>キョリ</t>
    </rPh>
    <phoneticPr fontId="17"/>
  </si>
  <si>
    <t>改訂磯焼け対策ガイドライン（令和3年3月,水産庁）, p.11 クロメ</t>
    <phoneticPr fontId="17"/>
  </si>
  <si>
    <t>改訂磯焼け対策ガイドライン（令和3年3月,水産庁）, p.10 アラメ場</t>
    <phoneticPr fontId="17"/>
  </si>
  <si>
    <t>八谷光介ら (2011)： 長崎県西彼杵半島西岸におけるホンダワラ属 3 種の季節的消長. 藻類, 59(3), 139-144.</t>
    <phoneticPr fontId="21"/>
  </si>
  <si>
    <t>文献13</t>
    <rPh sb="0" eb="2">
      <t>ブンケン</t>
    </rPh>
    <phoneticPr fontId="21"/>
  </si>
  <si>
    <t>環境省（2008 ）：第 7 回自然環境保全基礎調査浅海域生態系調査（藻場調査）報告書</t>
    <phoneticPr fontId="21"/>
  </si>
  <si>
    <t>文献12</t>
    <rPh sb="0" eb="2">
      <t>ブンケン</t>
    </rPh>
    <phoneticPr fontId="21"/>
  </si>
  <si>
    <t>柴田ら（2010 ）：大型海藻類による環境修復効果に関する研究-コンブによる CNP 固定効果に関して-，平成 22 年度日本大学理工学部学術講演会論文集， 663-664.</t>
    <phoneticPr fontId="21"/>
  </si>
  <si>
    <t>文献11</t>
    <rPh sb="0" eb="2">
      <t>ブンケン</t>
    </rPh>
    <phoneticPr fontId="21"/>
  </si>
  <si>
    <t>金丸ら（2013 ）：南方系ホンダワラ類と在来海藻の植食生ベントス 4 種に対する餌料価値の比較，佐賀県玄海水産振興センター研究報告 6 号， 89-94.</t>
    <phoneticPr fontId="21"/>
  </si>
  <si>
    <t>文献10</t>
    <rPh sb="0" eb="2">
      <t>ブンケン</t>
    </rPh>
    <phoneticPr fontId="21"/>
  </si>
  <si>
    <t>三浦ら（2013 ）：漁港の生態系構造と生物現存量の推定，土木学会論文集 B2 （海洋工学), 69 巻 2 号 , I_1211 I_1215.</t>
    <phoneticPr fontId="21"/>
  </si>
  <si>
    <t>文献9</t>
    <rPh sb="0" eb="2">
      <t>ブンケン</t>
    </rPh>
    <phoneticPr fontId="21"/>
  </si>
  <si>
    <t>金子ら（2007 ）：大阪湾の人口護岸上に形成された海藻群落の維持と高密度に生息するウニ類の摂食活動，日本水産学会誌 73 巻 3 号 , 443 453.</t>
    <phoneticPr fontId="21"/>
  </si>
  <si>
    <t>文献8</t>
    <rPh sb="0" eb="2">
      <t>ブンケン</t>
    </rPh>
    <phoneticPr fontId="21"/>
  </si>
  <si>
    <t>行本（2009 ）：海洋バイオマスを製鉄プロセスで利用する炭素循環プロセスの開発，公益財団法人 JFE21 世紀財団 2009 年度技術報告書， 263 271.</t>
    <phoneticPr fontId="21"/>
  </si>
  <si>
    <t>文献7</t>
    <rPh sb="0" eb="2">
      <t>ブンケン</t>
    </rPh>
    <phoneticPr fontId="21"/>
  </si>
  <si>
    <t>芳村・矢持（2011 ）：大阪南港野鳥園北池におけるグリーンタイドの季節的変遷と原因海藻ミナミアオサの低塩分・干出耐性に関する研究，土木学会論文集 B2 （海岸工学), Vol.67 No.2, I_1136 I_1140.</t>
    <phoneticPr fontId="21"/>
  </si>
  <si>
    <t>文献6</t>
    <rPh sb="0" eb="2">
      <t>ブンケン</t>
    </rPh>
    <phoneticPr fontId="21"/>
  </si>
  <si>
    <t>伊藤ら（2009 ）：藻場による炭素固定量の試算，水産工学 Vol 46 No.2 135-146.</t>
    <phoneticPr fontId="21"/>
  </si>
  <si>
    <t>文献5</t>
    <rPh sb="0" eb="2">
      <t>ブンケン</t>
    </rPh>
    <phoneticPr fontId="21"/>
  </si>
  <si>
    <t>文献4</t>
    <rPh sb="0" eb="2">
      <t>ブンケン</t>
    </rPh>
    <phoneticPr fontId="21"/>
  </si>
  <si>
    <t>(独) 森林総合研究所（ 2004 ）：森林、海洋等における CO 2 収支の評価の高度化，森林総合研究所交付金プロジェクト研究 成果集 3 97 107.</t>
    <phoneticPr fontId="21"/>
  </si>
  <si>
    <t>文献3</t>
    <rPh sb="0" eb="2">
      <t>ブンケン</t>
    </rPh>
    <phoneticPr fontId="21"/>
  </si>
  <si>
    <t>堀正和・桑江朝比呂編（ 2017 ）：ブルーカーボン-浅海における CO 2 隔離・貯留とその活用 -，地人書館</t>
    <phoneticPr fontId="21"/>
  </si>
  <si>
    <t>文献2</t>
    <rPh sb="0" eb="2">
      <t>ブンケン</t>
    </rPh>
    <phoneticPr fontId="21"/>
  </si>
  <si>
    <t>桑江朝比呂・吉田吾郎・堀正和・渡辺謙太・棚谷灯子・岡田知也・梅澤有・佐々木淳（2019)：浅海生態系における年間二酸化炭素吸収量の全国推計，土木学会論文集 B2 （海岸工学), 75 巻（2019） 1 号， p10 20.</t>
    <phoneticPr fontId="21"/>
  </si>
  <si>
    <t>文献1</t>
    <rPh sb="0" eb="2">
      <t>ブンケン</t>
    </rPh>
    <phoneticPr fontId="21"/>
  </si>
  <si>
    <t>ガラモ場(ノコギリモク)</t>
  </si>
  <si>
    <t>福井県烏辺島周辺</t>
  </si>
  <si>
    <t>タマナシモク群落</t>
  </si>
  <si>
    <t>東京都八丈島</t>
  </si>
  <si>
    <t>鹿児島県上甑島</t>
  </si>
  <si>
    <t>山形県飛島周辺</t>
  </si>
  <si>
    <t>不明</t>
  </si>
  <si>
    <t>トゲモク</t>
  </si>
  <si>
    <t>マジリモク</t>
    <phoneticPr fontId="21"/>
  </si>
  <si>
    <t>不明</t>
    <phoneticPr fontId="21"/>
  </si>
  <si>
    <t>キレバモク</t>
    <phoneticPr fontId="21"/>
  </si>
  <si>
    <t>長崎県西彼杵半島西岸</t>
    <rPh sb="0" eb="3">
      <t>ナガサキケン</t>
    </rPh>
    <rPh sb="3" eb="5">
      <t>セイヒ</t>
    </rPh>
    <rPh sb="5" eb="6">
      <t>キネ</t>
    </rPh>
    <rPh sb="6" eb="8">
      <t>ハントウ</t>
    </rPh>
    <rPh sb="8" eb="10">
      <t>ニシキシ</t>
    </rPh>
    <phoneticPr fontId="21"/>
  </si>
  <si>
    <t>マメタワラ</t>
    <phoneticPr fontId="21"/>
  </si>
  <si>
    <t>秋田県男鹿半島沿岸</t>
    <rPh sb="3" eb="5">
      <t>オジカ</t>
    </rPh>
    <phoneticPr fontId="21"/>
  </si>
  <si>
    <t>ジョロモク</t>
  </si>
  <si>
    <t>大分県姫島周辺</t>
  </si>
  <si>
    <t>ガラモ場</t>
  </si>
  <si>
    <t>ガラモ場（ノコギリモク）</t>
  </si>
  <si>
    <t>広島湾</t>
  </si>
  <si>
    <t>長崎県平戸</t>
  </si>
  <si>
    <t>エゾノネジモク</t>
  </si>
  <si>
    <t>宮城県牡鹿半島沿岸</t>
    <rPh sb="0" eb="2">
      <t>ミヤギ</t>
    </rPh>
    <rPh sb="2" eb="3">
      <t>ケン</t>
    </rPh>
    <rPh sb="3" eb="5">
      <t>オシカ</t>
    </rPh>
    <phoneticPr fontId="25"/>
  </si>
  <si>
    <t>山形県飛島周辺</t>
    <phoneticPr fontId="21"/>
  </si>
  <si>
    <t>京都府若狭湾</t>
  </si>
  <si>
    <t>全国</t>
  </si>
  <si>
    <t>アカモク</t>
  </si>
  <si>
    <t>宮城県松島湾</t>
  </si>
  <si>
    <t>石川県飯田湾</t>
  </si>
  <si>
    <t>ヒジキ</t>
  </si>
  <si>
    <t>山口県深川湾</t>
  </si>
  <si>
    <t>千葉県房総半島</t>
  </si>
  <si>
    <t>ホンダワラ属褐藻</t>
  </si>
  <si>
    <t>大阪湾泉州沖</t>
  </si>
  <si>
    <t>ガラモ場</t>
    <rPh sb="3" eb="4">
      <t>バ</t>
    </rPh>
    <phoneticPr fontId="21"/>
  </si>
  <si>
    <t>炭素含有比</t>
    <rPh sb="0" eb="2">
      <t>タンソ</t>
    </rPh>
    <rPh sb="2" eb="4">
      <t>ガンユウ</t>
    </rPh>
    <rPh sb="4" eb="5">
      <t>ヒ</t>
    </rPh>
    <phoneticPr fontId="21"/>
  </si>
  <si>
    <t>含水比</t>
    <rPh sb="0" eb="3">
      <t>ガンスイヒ</t>
    </rPh>
    <phoneticPr fontId="21"/>
  </si>
  <si>
    <t>PB比</t>
    <phoneticPr fontId="21"/>
  </si>
  <si>
    <t xml:space="preserve">水産庁（2021）：改訂磯焼け対策ガイドライン </t>
    <phoneticPr fontId="21"/>
  </si>
  <si>
    <t>複数文献の平均値</t>
    <rPh sb="0" eb="2">
      <t>フクスウ</t>
    </rPh>
    <rPh sb="2" eb="4">
      <t>ブンケン</t>
    </rPh>
    <rPh sb="5" eb="8">
      <t>ヘイキンチ</t>
    </rPh>
    <phoneticPr fontId="17"/>
  </si>
  <si>
    <t>ガラモ場
（その他：マジリモク）</t>
    <rPh sb="3" eb="4">
      <t>バ</t>
    </rPh>
    <rPh sb="8" eb="9">
      <t>タ</t>
    </rPh>
    <phoneticPr fontId="17"/>
  </si>
  <si>
    <t>ガラモ場
（その他：ノコギリモク）</t>
    <rPh sb="3" eb="4">
      <t>バ</t>
    </rPh>
    <phoneticPr fontId="17"/>
  </si>
  <si>
    <t>改訂磯焼け対策ガイドライン（令和3年3月,水産庁）, ノコギリモクの平均値</t>
    <rPh sb="34" eb="37">
      <t>ヘイキンチ</t>
    </rPh>
    <phoneticPr fontId="17"/>
  </si>
  <si>
    <t>ガラモ場
（その他：マメタワラ）</t>
    <rPh sb="3" eb="4">
      <t>バ</t>
    </rPh>
    <phoneticPr fontId="17"/>
  </si>
  <si>
    <t>改訂磯焼け対策ガイドライン（令和3年3月,水産庁）, マメタワラ</t>
    <phoneticPr fontId="17"/>
  </si>
  <si>
    <t>項目3・7</t>
    <rPh sb="0" eb="2">
      <t>コウモク</t>
    </rPh>
    <phoneticPr fontId="17"/>
  </si>
  <si>
    <t>アラメ場
（クロメ）</t>
    <rPh sb="3" eb="4">
      <t>バ</t>
    </rPh>
    <phoneticPr fontId="17"/>
  </si>
  <si>
    <t>項目2・4・6・8</t>
    <rPh sb="0" eb="2">
      <t>コウモク</t>
    </rPh>
    <phoneticPr fontId="17"/>
  </si>
  <si>
    <t>申請書
項目</t>
    <rPh sb="0" eb="3">
      <t>シンセイショ</t>
    </rPh>
    <rPh sb="4" eb="6">
      <t>コウモク</t>
    </rPh>
    <phoneticPr fontId="17"/>
  </si>
  <si>
    <t>対照区</t>
    <rPh sb="0" eb="3">
      <t>タイショウク</t>
    </rPh>
    <phoneticPr fontId="1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</si>
</sst>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0"/>
    <numFmt numFmtId="177" formatCode="0.000"/>
    <numFmt numFmtId="178" formatCode="0.0000"/>
    <numFmt numFmtId="179" formatCode="0_);[Red]\(0\)"/>
    <numFmt numFmtId="180" formatCode="0.00_ "/>
    <numFmt numFmtId="181" formatCode="0.00000"/>
    <numFmt numFmtId="182" formatCode="0.000000_ "/>
    <numFmt numFmtId="183" formatCode="0_ "/>
    <numFmt numFmtId="184" formatCode="#,##0.000;[Red]\-#,##0.000"/>
    <numFmt numFmtId="185" formatCode="0.000000"/>
    <numFmt numFmtId="186" formatCode="#,##0.000000;[Red]\-#,##0.000000"/>
  </numFmts>
  <fonts count="45">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9"/>
      <color theme="1"/>
      <name val="ＭＳ Ｐゴシック"/>
      <family val="2"/>
      <charset val="128"/>
    </font>
    <font>
      <sz val="6"/>
      <name val="Yu Gothic"/>
      <family val="3"/>
      <charset val="128"/>
      <scheme val="minor"/>
    </font>
    <font>
      <sz val="6"/>
      <name val="ＭＳ Ｐゴシック"/>
      <family val="2"/>
      <charset val="128"/>
    </font>
    <font>
      <sz val="9"/>
      <color theme="1"/>
      <name val="ＭＳ Ｐゴシック"/>
      <family val="3"/>
      <charset val="128"/>
    </font>
    <font>
      <sz val="11"/>
      <color theme="1"/>
      <name val="HGｺﾞｼｯｸM"/>
      <family val="3"/>
      <charset val="128"/>
    </font>
    <font>
      <sz val="6"/>
      <name val="Yu Gothic"/>
      <family val="2"/>
      <charset val="128"/>
      <scheme val="minor"/>
    </font>
    <font>
      <sz val="9"/>
      <color rgb="FFFF0000"/>
      <name val="ＭＳ Ｐゴシック"/>
      <family val="3"/>
      <charset val="128"/>
    </font>
    <font>
      <sz val="9"/>
      <color theme="1"/>
      <name val="Yu Gothic"/>
      <family val="3"/>
      <charset val="128"/>
      <scheme val="minor"/>
    </font>
    <font>
      <sz val="9"/>
      <name val="ＭＳ Ｐゴシック"/>
      <family val="3"/>
      <charset val="128"/>
    </font>
    <font>
      <sz val="6"/>
      <name val="ＭＳ ゴシック"/>
      <family val="2"/>
      <charset val="128"/>
    </font>
    <font>
      <sz val="11"/>
      <color theme="1"/>
      <name val="Yu Gothic"/>
      <family val="3"/>
      <charset val="128"/>
      <scheme val="minor"/>
    </font>
    <font>
      <i/>
      <sz val="11"/>
      <color theme="1"/>
      <name val="Yu Gothic"/>
      <family val="3"/>
      <charset val="128"/>
      <scheme val="minor"/>
    </font>
    <font>
      <sz val="11"/>
      <name val="Yu Gothic"/>
      <family val="3"/>
      <charset val="128"/>
      <scheme val="minor"/>
    </font>
    <font>
      <sz val="11"/>
      <color rgb="FF222222"/>
      <name val="Yu Gothic"/>
      <family val="3"/>
      <charset val="128"/>
      <scheme val="minor"/>
    </font>
    <font>
      <b/>
      <sz val="9"/>
      <color rgb="FFFF0000"/>
      <name val="ＭＳ Ｐゴシック"/>
      <family val="3"/>
      <charset val="128"/>
    </font>
    <font>
      <sz val="8"/>
      <color theme="1"/>
      <name val="ＭＳ Ｐゴシック"/>
      <family val="3"/>
      <charset val="128"/>
    </font>
    <font>
      <sz val="10"/>
      <color theme="1"/>
      <name val="ＭＳ Ｐゴシック"/>
      <family val="3"/>
      <charset val="128"/>
    </font>
    <font>
      <sz val="10"/>
      <color theme="1"/>
      <name val="Yu Gothic"/>
      <family val="3"/>
      <charset val="128"/>
      <scheme val="minor"/>
    </font>
    <font>
      <b/>
      <sz val="11"/>
      <color theme="1"/>
      <name val="Yu Gothic"/>
      <family val="3"/>
      <charset val="128"/>
      <scheme val="minor"/>
    </font>
    <font>
      <sz val="10"/>
      <name val="ＭＳ Ｐゴシック"/>
      <family val="3"/>
      <charset val="128"/>
    </font>
    <font>
      <sz val="10"/>
      <color rgb="FFFF0000"/>
      <name val="ＭＳ Ｐゴシック"/>
      <family val="3"/>
      <charset val="128"/>
    </font>
    <font>
      <b/>
      <sz val="11"/>
      <color theme="1"/>
      <name val="Yu Gothic"/>
      <family val="2"/>
      <charset val="128"/>
      <scheme val="minor"/>
    </font>
    <font>
      <sz val="11"/>
      <color rgb="FFFF0000"/>
      <name val="HGｺﾞｼｯｸM"/>
      <family val="3"/>
      <charset val="128"/>
    </font>
    <font>
      <sz val="10"/>
      <color rgb="FFFF0000"/>
      <name val="HGｺﾞｼｯｸM"/>
      <family val="3"/>
      <charset val="128"/>
    </font>
    <font>
      <sz val="10"/>
      <color rgb="FFFF0000"/>
      <name val="HGSｺﾞｼｯｸM"/>
      <family val="3"/>
      <charset val="128"/>
    </font>
    <font>
      <sz val="11"/>
      <name val="Yu Gothic"/>
      <family val="2"/>
      <charset val="128"/>
      <scheme val="minor"/>
    </font>
    <font>
      <sz val="11"/>
      <color theme="1"/>
      <name val="Yu Gothic"/>
      <family val="2"/>
      <scheme val="minor"/>
    </font>
    <font>
      <i/>
      <sz val="11"/>
      <color theme="1"/>
      <name val="Tahoma"/>
      <family val="3"/>
      <charset val="1"/>
    </font>
    <font>
      <sz val="11"/>
      <color rgb="FFFF0000"/>
      <name val="Yu Gothic"/>
      <family val="3"/>
      <charset val="128"/>
      <scheme val="minor"/>
    </font>
  </fonts>
  <fills count="13">
    <fill>
      <patternFill patternType="none"/>
    </fill>
    <fill>
      <patternFill patternType="gray125"/>
    </fill>
    <fill>
      <patternFill patternType="solid">
        <fgColor theme="5" tint="0.59999389629810485"/>
        <bgColor indexed="64"/>
      </patternFill>
    </fill>
    <fill>
      <patternFill patternType="solid">
        <fgColor theme="6"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4" tint="0.79998168889431442"/>
        <bgColor theme="4" tint="0.79998168889431442"/>
      </patternFill>
    </fill>
    <fill>
      <patternFill patternType="solid">
        <fgColor theme="0" tint="-0.249977111117893"/>
        <bgColor indexed="64"/>
      </patternFill>
    </fill>
    <fill>
      <patternFill patternType="solid">
        <fgColor theme="9" tint="0.79998168889431442"/>
        <bgColor indexed="64"/>
      </patternFill>
    </fill>
    <fill>
      <patternFill patternType="solid">
        <fgColor rgb="FFFFCCCC"/>
        <bgColor indexed="64"/>
      </patternFill>
    </fill>
    <fill>
      <patternFill patternType="solid">
        <fgColor theme="7" tint="0.79998168889431442"/>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double">
        <color auto="1"/>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top/>
      <bottom/>
      <diagonal/>
    </border>
    <border>
      <left style="thin">
        <color indexed="64"/>
      </left>
      <right style="thin">
        <color indexed="64"/>
      </right>
      <top style="thin">
        <color indexed="64"/>
      </top>
      <bottom style="medium">
        <color rgb="FFFF0000"/>
      </bottom>
      <diagonal/>
    </border>
    <border>
      <left style="medium">
        <color rgb="FFFF0000"/>
      </left>
      <right style="medium">
        <color rgb="FFFF0000"/>
      </right>
      <top style="medium">
        <color rgb="FFFF0000"/>
      </top>
      <bottom style="thin">
        <color indexed="64"/>
      </bottom>
      <diagonal/>
    </border>
    <border>
      <left style="medium">
        <color rgb="FFFF0000"/>
      </left>
      <right style="medium">
        <color rgb="FFFF0000"/>
      </right>
      <top style="thin">
        <color indexed="64"/>
      </top>
      <bottom style="thin">
        <color indexed="64"/>
      </bottom>
      <diagonal/>
    </border>
    <border>
      <left style="medium">
        <color rgb="FFFF0000"/>
      </left>
      <right style="medium">
        <color rgb="FFFF0000"/>
      </right>
      <top style="thin">
        <color indexed="64"/>
      </top>
      <bottom style="medium">
        <color rgb="FFFF0000"/>
      </bottom>
      <diagonal/>
    </border>
    <border>
      <left style="thin">
        <color rgb="FFFF0000"/>
      </left>
      <right style="thin">
        <color rgb="FFFF0000"/>
      </right>
      <top style="thin">
        <color rgb="FFFF0000"/>
      </top>
      <bottom style="thin">
        <color rgb="FFFF0000"/>
      </bottom>
      <diagonal/>
    </border>
    <border>
      <left/>
      <right style="thin">
        <color rgb="FFFF0000"/>
      </right>
      <top style="thin">
        <color indexed="64"/>
      </top>
      <bottom style="thin">
        <color auto="1"/>
      </bottom>
      <diagonal/>
    </border>
    <border>
      <left style="medium">
        <color rgb="FFFF0000"/>
      </left>
      <right style="medium">
        <color rgb="FFFF0000"/>
      </right>
      <top style="medium">
        <color rgb="FFFF0000"/>
      </top>
      <bottom style="medium">
        <color rgb="FFFF0000"/>
      </bottom>
      <diagonal/>
    </border>
    <border>
      <left style="medium">
        <color rgb="FFFF0000"/>
      </left>
      <right style="medium">
        <color rgb="FFFF0000"/>
      </right>
      <top style="medium">
        <color rgb="FFFF0000"/>
      </top>
      <bottom style="thin">
        <color rgb="FFFF0000"/>
      </bottom>
      <diagonal/>
    </border>
    <border>
      <left style="medium">
        <color rgb="FFFF0000"/>
      </left>
      <right style="medium">
        <color rgb="FFFF0000"/>
      </right>
      <top style="thin">
        <color rgb="FFFF0000"/>
      </top>
      <bottom style="thin">
        <color rgb="FFFF0000"/>
      </bottom>
      <diagonal/>
    </border>
    <border>
      <left style="medium">
        <color rgb="FFFF0000"/>
      </left>
      <right style="medium">
        <color rgb="FFFF0000"/>
      </right>
      <top style="thin">
        <color rgb="FFFF0000"/>
      </top>
      <bottom style="medium">
        <color rgb="FFFF0000"/>
      </bottom>
      <diagonal/>
    </border>
    <border>
      <left style="medium">
        <color rgb="FFFF0000"/>
      </left>
      <right style="medium">
        <color rgb="FFFF0000"/>
      </right>
      <top style="thin">
        <color rgb="FFFF0000"/>
      </top>
      <bottom/>
      <diagonal/>
    </border>
    <border>
      <left style="medium">
        <color rgb="FFFF0000"/>
      </left>
      <right style="medium">
        <color rgb="FFFF0000"/>
      </right>
      <top style="medium">
        <color rgb="FFFF0000"/>
      </top>
      <bottom/>
      <diagonal/>
    </border>
    <border>
      <left style="thin">
        <color indexed="64"/>
      </left>
      <right style="dotted">
        <color indexed="64"/>
      </right>
      <top style="thin">
        <color indexed="64"/>
      </top>
      <bottom style="thin">
        <color indexed="64"/>
      </bottom>
      <diagonal/>
    </border>
    <border>
      <left/>
      <right/>
      <top style="double">
        <color indexed="64"/>
      </top>
      <bottom/>
      <diagonal/>
    </border>
    <border>
      <left/>
      <right style="thin">
        <color indexed="64"/>
      </right>
      <top/>
      <bottom/>
      <diagonal/>
    </border>
  </borders>
  <cellStyleXfs count="12">
    <xf numFmtId="0" fontId="0" fillId="0" borderId="0"/>
    <xf numFmtId="0" fontId="16" fillId="0" borderId="0">
      <alignment vertical="center"/>
    </xf>
    <xf numFmtId="38" fontId="16" fillId="0" borderId="0" applyFont="0" applyFill="0" applyBorder="0" applyAlignment="0" applyProtection="0">
      <alignment vertical="center"/>
    </xf>
    <xf numFmtId="0" fontId="15" fillId="0" borderId="0">
      <alignment vertical="center"/>
    </xf>
    <xf numFmtId="0" fontId="14" fillId="0" borderId="0">
      <alignment vertical="center"/>
    </xf>
    <xf numFmtId="38" fontId="14" fillId="0" borderId="0" applyFont="0" applyFill="0" applyBorder="0" applyAlignment="0" applyProtection="0">
      <alignment vertical="center"/>
    </xf>
    <xf numFmtId="0" fontId="13" fillId="0" borderId="0">
      <alignment vertical="center"/>
    </xf>
    <xf numFmtId="0" fontId="11" fillId="0" borderId="0">
      <alignment vertical="center"/>
    </xf>
    <xf numFmtId="0" fontId="10" fillId="0" borderId="0">
      <alignment vertical="center"/>
    </xf>
    <xf numFmtId="38" fontId="42" fillId="0" borderId="0" applyFont="0" applyFill="0" applyBorder="0" applyAlignment="0" applyProtection="0">
      <alignment vertical="center"/>
    </xf>
    <xf numFmtId="0" fontId="9" fillId="0" borderId="0">
      <alignment vertical="center"/>
    </xf>
    <xf numFmtId="0" fontId="1" fillId="0" borderId="0">
      <alignment vertical="center"/>
    </xf>
  </cellStyleXfs>
  <cellXfs count="453">
    <xf numFmtId="0" fontId="0" fillId="0" borderId="0" xfId="0"/>
    <xf numFmtId="0" fontId="19" fillId="0" borderId="0" xfId="3" applyFont="1">
      <alignment vertical="center"/>
    </xf>
    <xf numFmtId="0" fontId="23" fillId="0" borderId="1" xfId="0" applyFont="1" applyBorder="1" applyAlignment="1">
      <alignment vertical="center"/>
    </xf>
    <xf numFmtId="0" fontId="23" fillId="0" borderId="1" xfId="0" applyFont="1" applyBorder="1" applyAlignment="1">
      <alignment horizontal="center" vertical="center"/>
    </xf>
    <xf numFmtId="0" fontId="23" fillId="0" borderId="1" xfId="0" applyFont="1" applyBorder="1" applyAlignment="1">
      <alignment horizontal="right" vertical="center"/>
    </xf>
    <xf numFmtId="0" fontId="14" fillId="0" borderId="0" xfId="4">
      <alignment vertical="center"/>
    </xf>
    <xf numFmtId="0" fontId="20" fillId="0" borderId="0" xfId="4" applyFont="1">
      <alignment vertical="center"/>
    </xf>
    <xf numFmtId="0" fontId="24" fillId="0" borderId="0" xfId="3" applyFont="1">
      <alignment vertical="center"/>
    </xf>
    <xf numFmtId="0" fontId="19" fillId="0" borderId="0" xfId="6" applyFont="1">
      <alignment vertical="center"/>
    </xf>
    <xf numFmtId="0" fontId="19" fillId="0" borderId="0" xfId="6" applyFont="1" applyAlignment="1">
      <alignment horizontal="right" vertical="center"/>
    </xf>
    <xf numFmtId="0" fontId="19" fillId="0" borderId="1" xfId="6" applyFont="1" applyBorder="1" applyAlignment="1">
      <alignment horizontal="center" vertical="center"/>
    </xf>
    <xf numFmtId="0" fontId="19" fillId="2" borderId="1" xfId="6" applyFont="1" applyFill="1" applyBorder="1" applyAlignment="1">
      <alignment horizontal="center" vertical="center"/>
    </xf>
    <xf numFmtId="0" fontId="19" fillId="3" borderId="1" xfId="6" applyFont="1" applyFill="1" applyBorder="1" applyAlignment="1">
      <alignment horizontal="center" vertical="center"/>
    </xf>
    <xf numFmtId="0" fontId="19" fillId="0" borderId="1" xfId="6" applyFont="1" applyBorder="1" applyAlignment="1">
      <alignment horizontal="justify" vertical="center"/>
    </xf>
    <xf numFmtId="9" fontId="19" fillId="0" borderId="1" xfId="6" applyNumberFormat="1" applyFont="1" applyBorder="1" applyAlignment="1">
      <alignment horizontal="center" vertical="center"/>
    </xf>
    <xf numFmtId="0" fontId="19" fillId="0" borderId="1" xfId="6" applyFont="1" applyBorder="1">
      <alignment vertical="center"/>
    </xf>
    <xf numFmtId="0" fontId="19" fillId="0" borderId="0" xfId="6" applyFont="1" applyAlignment="1">
      <alignment horizontal="center" vertical="center"/>
    </xf>
    <xf numFmtId="0" fontId="19" fillId="4" borderId="1" xfId="6" applyFont="1" applyFill="1" applyBorder="1" applyAlignment="1">
      <alignment horizontal="center" vertical="center"/>
    </xf>
    <xf numFmtId="0" fontId="19" fillId="4" borderId="1" xfId="6" applyFont="1" applyFill="1" applyBorder="1">
      <alignment vertical="center"/>
    </xf>
    <xf numFmtId="0" fontId="26" fillId="4" borderId="4" xfId="1" applyFont="1" applyFill="1" applyBorder="1">
      <alignment vertical="center"/>
    </xf>
    <xf numFmtId="0" fontId="26" fillId="4" borderId="1" xfId="1" applyFont="1" applyFill="1" applyBorder="1">
      <alignment vertical="center"/>
    </xf>
    <xf numFmtId="0" fontId="27" fillId="4" borderId="1" xfId="1" applyFont="1" applyFill="1" applyBorder="1">
      <alignment vertical="center"/>
    </xf>
    <xf numFmtId="0" fontId="26" fillId="4" borderId="3" xfId="1" applyFont="1" applyFill="1" applyBorder="1">
      <alignment vertical="center"/>
    </xf>
    <xf numFmtId="0" fontId="26" fillId="4" borderId="2" xfId="1" applyFont="1" applyFill="1" applyBorder="1">
      <alignment vertical="center"/>
    </xf>
    <xf numFmtId="0" fontId="26" fillId="0" borderId="1" xfId="1" applyFont="1" applyBorder="1">
      <alignment vertical="center"/>
    </xf>
    <xf numFmtId="0" fontId="26" fillId="4" borderId="3" xfId="1" applyFont="1" applyFill="1" applyBorder="1" applyAlignment="1">
      <alignment horizontal="center" vertical="center"/>
    </xf>
    <xf numFmtId="0" fontId="27" fillId="4" borderId="4" xfId="1" applyFont="1" applyFill="1" applyBorder="1">
      <alignment vertical="center"/>
    </xf>
    <xf numFmtId="0" fontId="26" fillId="0" borderId="4" xfId="1" applyFont="1" applyBorder="1">
      <alignment vertical="center"/>
    </xf>
    <xf numFmtId="0" fontId="26" fillId="4" borderId="15" xfId="1" applyFont="1" applyFill="1" applyBorder="1" applyAlignment="1">
      <alignment horizontal="center" vertical="center"/>
    </xf>
    <xf numFmtId="0" fontId="26" fillId="4" borderId="9" xfId="1" applyFont="1" applyFill="1" applyBorder="1">
      <alignment vertical="center"/>
    </xf>
    <xf numFmtId="0" fontId="26" fillId="0" borderId="9" xfId="1" applyFont="1" applyBorder="1">
      <alignment vertical="center"/>
    </xf>
    <xf numFmtId="0" fontId="27" fillId="4" borderId="9" xfId="1" applyFont="1" applyFill="1" applyBorder="1">
      <alignment vertical="center"/>
    </xf>
    <xf numFmtId="0" fontId="26" fillId="0" borderId="0" xfId="3" applyFont="1">
      <alignment vertical="center"/>
    </xf>
    <xf numFmtId="0" fontId="26" fillId="0" borderId="0" xfId="1" applyFont="1">
      <alignment vertical="center"/>
    </xf>
    <xf numFmtId="0" fontId="26" fillId="0" borderId="0" xfId="1" applyFont="1" applyAlignment="1">
      <alignment horizontal="center" vertical="center"/>
    </xf>
    <xf numFmtId="0" fontId="19" fillId="0" borderId="4" xfId="6" applyFont="1" applyBorder="1" applyAlignment="1">
      <alignment horizontal="center" vertical="center"/>
    </xf>
    <xf numFmtId="0" fontId="19" fillId="0" borderId="1" xfId="6" applyFont="1" applyBorder="1" applyAlignment="1">
      <alignment horizontal="center" vertical="center"/>
    </xf>
    <xf numFmtId="0" fontId="19" fillId="4" borderId="1" xfId="6" applyFont="1" applyFill="1" applyBorder="1" applyAlignment="1">
      <alignment horizontal="center" vertical="center"/>
    </xf>
    <xf numFmtId="0" fontId="19" fillId="0" borderId="1" xfId="6" applyFont="1" applyBorder="1" applyAlignment="1">
      <alignment horizontal="center" vertical="center"/>
    </xf>
    <xf numFmtId="0" fontId="19" fillId="2" borderId="1" xfId="3" quotePrefix="1" applyFont="1" applyFill="1" applyBorder="1" applyAlignment="1">
      <alignment horizontal="center" vertical="center"/>
    </xf>
    <xf numFmtId="0" fontId="19" fillId="0" borderId="0" xfId="6" applyFont="1" applyBorder="1" applyAlignment="1">
      <alignment vertical="center"/>
    </xf>
    <xf numFmtId="0" fontId="19" fillId="0" borderId="0" xfId="6" applyFont="1" applyBorder="1" applyAlignment="1">
      <alignment horizontal="center" vertical="center"/>
    </xf>
    <xf numFmtId="0" fontId="19" fillId="0" borderId="0" xfId="6" applyFont="1" applyFill="1" applyBorder="1" applyAlignment="1">
      <alignment horizontal="center" vertical="center"/>
    </xf>
    <xf numFmtId="0" fontId="19" fillId="2" borderId="5" xfId="6" applyFont="1" applyFill="1" applyBorder="1" applyAlignment="1">
      <alignment horizontal="center" vertical="center"/>
    </xf>
    <xf numFmtId="0" fontId="19" fillId="0" borderId="5" xfId="6" applyFont="1" applyBorder="1" applyAlignment="1">
      <alignment horizontal="center" vertical="center"/>
    </xf>
    <xf numFmtId="0" fontId="19" fillId="3" borderId="16" xfId="6" applyFont="1" applyFill="1" applyBorder="1" applyAlignment="1">
      <alignment horizontal="center" vertical="center"/>
    </xf>
    <xf numFmtId="0" fontId="19" fillId="0" borderId="16" xfId="6" applyFont="1" applyBorder="1" applyAlignment="1">
      <alignment horizontal="center" vertical="center"/>
    </xf>
    <xf numFmtId="176" fontId="19" fillId="0" borderId="16" xfId="6" applyNumberFormat="1" applyFont="1" applyBorder="1" applyAlignment="1">
      <alignment horizontal="center" vertical="center"/>
    </xf>
    <xf numFmtId="0" fontId="19" fillId="0" borderId="18" xfId="6" applyFont="1" applyBorder="1" applyAlignment="1">
      <alignment horizontal="center" vertical="center"/>
    </xf>
    <xf numFmtId="0" fontId="19" fillId="0" borderId="12" xfId="6" applyFont="1" applyBorder="1" applyAlignment="1">
      <alignment horizontal="center" vertical="center"/>
    </xf>
    <xf numFmtId="0" fontId="19" fillId="0" borderId="6" xfId="6" applyFont="1" applyBorder="1" applyAlignment="1">
      <alignment horizontal="center" vertical="center"/>
    </xf>
    <xf numFmtId="0" fontId="19" fillId="3" borderId="17" xfId="6" applyFont="1" applyFill="1" applyBorder="1" applyAlignment="1">
      <alignment horizontal="center" vertical="center"/>
    </xf>
    <xf numFmtId="0" fontId="19" fillId="0" borderId="17" xfId="6" applyFont="1" applyBorder="1" applyAlignment="1">
      <alignment horizontal="center" vertical="center"/>
    </xf>
    <xf numFmtId="0" fontId="19" fillId="0" borderId="19" xfId="6" applyFont="1" applyBorder="1" applyAlignment="1">
      <alignment horizontal="center" vertical="center"/>
    </xf>
    <xf numFmtId="0" fontId="19" fillId="0" borderId="7" xfId="6" applyFont="1" applyBorder="1" applyAlignment="1">
      <alignment horizontal="center" vertical="center"/>
    </xf>
    <xf numFmtId="0" fontId="19" fillId="0" borderId="16" xfId="6" applyNumberFormat="1" applyFont="1" applyBorder="1" applyAlignment="1">
      <alignment horizontal="center" vertical="center"/>
    </xf>
    <xf numFmtId="0" fontId="19" fillId="0" borderId="20" xfId="6" applyFont="1" applyBorder="1" applyAlignment="1">
      <alignment horizontal="center" vertical="center"/>
    </xf>
    <xf numFmtId="0" fontId="30" fillId="0" borderId="1" xfId="6" applyFont="1" applyBorder="1" applyAlignment="1">
      <alignment horizontal="center" vertical="center"/>
    </xf>
    <xf numFmtId="0" fontId="30" fillId="0" borderId="16" xfId="6" applyFont="1" applyBorder="1" applyAlignment="1">
      <alignment horizontal="center" vertical="center"/>
    </xf>
    <xf numFmtId="0" fontId="30" fillId="0" borderId="17" xfId="6" applyFont="1" applyBorder="1" applyAlignment="1">
      <alignment horizontal="center" vertical="center"/>
    </xf>
    <xf numFmtId="0" fontId="19" fillId="0" borderId="0" xfId="6" applyFont="1" applyBorder="1">
      <alignment vertical="center"/>
    </xf>
    <xf numFmtId="56" fontId="19" fillId="4" borderId="1" xfId="6" quotePrefix="1" applyNumberFormat="1" applyFont="1" applyFill="1" applyBorder="1" applyAlignment="1">
      <alignment horizontal="center" vertical="center"/>
    </xf>
    <xf numFmtId="0" fontId="19" fillId="4" borderId="1" xfId="6" applyFont="1" applyFill="1" applyBorder="1" applyAlignment="1">
      <alignment horizontal="left" vertical="center"/>
    </xf>
    <xf numFmtId="0" fontId="19" fillId="0" borderId="0" xfId="6" applyFont="1" applyAlignment="1">
      <alignment horizontal="left" vertical="center"/>
    </xf>
    <xf numFmtId="0" fontId="19" fillId="0" borderId="1" xfId="6" applyFont="1" applyBorder="1" applyAlignment="1">
      <alignment horizontal="left" vertical="center"/>
    </xf>
    <xf numFmtId="0" fontId="19" fillId="4" borderId="4" xfId="6" applyFont="1" applyFill="1" applyBorder="1" applyAlignment="1">
      <alignment vertical="center"/>
    </xf>
    <xf numFmtId="0" fontId="19" fillId="4" borderId="3" xfId="6" applyFont="1" applyFill="1" applyBorder="1" applyAlignment="1">
      <alignment vertical="center"/>
    </xf>
    <xf numFmtId="0" fontId="19" fillId="4" borderId="2" xfId="6" applyFont="1" applyFill="1" applyBorder="1" applyAlignment="1">
      <alignment vertical="center"/>
    </xf>
    <xf numFmtId="0" fontId="31" fillId="4" borderId="1" xfId="6" applyFont="1" applyFill="1" applyBorder="1" applyAlignment="1">
      <alignment horizontal="left" vertical="center"/>
    </xf>
    <xf numFmtId="0" fontId="31" fillId="0" borderId="1" xfId="0" applyFont="1" applyBorder="1" applyAlignment="1">
      <alignment vertical="center" shrinkToFit="1"/>
    </xf>
    <xf numFmtId="0" fontId="19" fillId="4" borderId="0" xfId="6" applyFont="1" applyFill="1" applyBorder="1" applyAlignment="1">
      <alignment vertical="center"/>
    </xf>
    <xf numFmtId="0" fontId="32" fillId="0" borderId="1" xfId="0" applyFont="1" applyBorder="1" applyAlignment="1">
      <alignment vertical="center"/>
    </xf>
    <xf numFmtId="0" fontId="32" fillId="0" borderId="4" xfId="0" applyFont="1" applyBorder="1" applyAlignment="1">
      <alignment vertical="center"/>
    </xf>
    <xf numFmtId="0" fontId="32" fillId="0" borderId="1" xfId="0" applyFont="1" applyBorder="1" applyAlignment="1">
      <alignment horizontal="left" vertical="center"/>
    </xf>
    <xf numFmtId="0" fontId="19" fillId="4" borderId="1" xfId="6" applyNumberFormat="1" applyFont="1" applyFill="1" applyBorder="1" applyAlignment="1">
      <alignment horizontal="center" vertical="center"/>
    </xf>
    <xf numFmtId="0" fontId="19" fillId="0" borderId="1" xfId="6" applyNumberFormat="1" applyFont="1" applyBorder="1">
      <alignment vertical="center"/>
    </xf>
    <xf numFmtId="0" fontId="19" fillId="0" borderId="0" xfId="6" applyNumberFormat="1" applyFont="1">
      <alignment vertical="center"/>
    </xf>
    <xf numFmtId="0" fontId="19" fillId="4" borderId="1" xfId="6" quotePrefix="1" applyNumberFormat="1" applyFont="1" applyFill="1" applyBorder="1" applyAlignment="1">
      <alignment horizontal="center" vertical="center"/>
    </xf>
    <xf numFmtId="0" fontId="19" fillId="0" borderId="1" xfId="6" applyNumberFormat="1" applyFont="1" applyBorder="1" applyAlignment="1">
      <alignment horizontal="center" vertical="center"/>
    </xf>
    <xf numFmtId="0" fontId="24" fillId="4" borderId="1" xfId="6" applyNumberFormat="1" applyFont="1" applyFill="1" applyBorder="1" applyAlignment="1">
      <alignment horizontal="center" vertical="center"/>
    </xf>
    <xf numFmtId="0" fontId="19" fillId="0" borderId="0" xfId="3" applyNumberFormat="1" applyFont="1">
      <alignment vertical="center"/>
    </xf>
    <xf numFmtId="0" fontId="19" fillId="4" borderId="1" xfId="6" applyNumberFormat="1" applyFont="1" applyFill="1" applyBorder="1" applyAlignment="1">
      <alignment vertical="center"/>
    </xf>
    <xf numFmtId="0" fontId="19" fillId="4" borderId="0" xfId="6" applyNumberFormat="1" applyFont="1" applyFill="1" applyBorder="1" applyAlignment="1">
      <alignment vertical="center"/>
    </xf>
    <xf numFmtId="0" fontId="19" fillId="0" borderId="0" xfId="3" applyNumberFormat="1" applyFont="1" applyBorder="1">
      <alignment vertical="center"/>
    </xf>
    <xf numFmtId="0" fontId="19" fillId="0" borderId="0" xfId="6" applyNumberFormat="1" applyFont="1" applyBorder="1">
      <alignment vertical="center"/>
    </xf>
    <xf numFmtId="0" fontId="31" fillId="0" borderId="0" xfId="0" applyFont="1" applyBorder="1" applyAlignment="1">
      <alignment vertical="center" shrinkToFit="1"/>
    </xf>
    <xf numFmtId="0" fontId="19" fillId="4" borderId="0" xfId="6" applyNumberFormat="1" applyFont="1" applyFill="1" applyBorder="1" applyAlignment="1">
      <alignment horizontal="center" vertical="center"/>
    </xf>
    <xf numFmtId="0" fontId="30" fillId="4" borderId="1" xfId="6" applyNumberFormat="1" applyFont="1" applyFill="1" applyBorder="1" applyAlignment="1">
      <alignment horizontal="center" vertical="center"/>
    </xf>
    <xf numFmtId="0" fontId="30" fillId="0" borderId="1" xfId="6" applyNumberFormat="1" applyFont="1" applyBorder="1">
      <alignment vertical="center"/>
    </xf>
    <xf numFmtId="0" fontId="30" fillId="0" borderId="1" xfId="6" applyFont="1" applyBorder="1">
      <alignment vertical="center"/>
    </xf>
    <xf numFmtId="0" fontId="24" fillId="0" borderId="1" xfId="6" applyNumberFormat="1" applyFont="1" applyBorder="1" applyAlignment="1">
      <alignment horizontal="center" vertical="center"/>
    </xf>
    <xf numFmtId="0" fontId="19" fillId="0" borderId="0" xfId="3" applyFont="1" applyBorder="1" applyAlignment="1">
      <alignment horizontal="center" vertical="center"/>
    </xf>
    <xf numFmtId="0" fontId="24" fillId="0" borderId="0" xfId="3" applyFont="1" applyBorder="1" applyAlignment="1">
      <alignment horizontal="center" vertical="center"/>
    </xf>
    <xf numFmtId="0" fontId="24" fillId="0" borderId="0" xfId="3" applyFont="1" applyBorder="1">
      <alignment vertical="center"/>
    </xf>
    <xf numFmtId="0" fontId="19" fillId="0" borderId="0" xfId="3" applyFont="1" applyBorder="1">
      <alignment vertical="center"/>
    </xf>
    <xf numFmtId="0" fontId="24" fillId="0" borderId="0" xfId="3" applyFont="1" applyFill="1" applyBorder="1">
      <alignment vertical="center"/>
    </xf>
    <xf numFmtId="0" fontId="19" fillId="0" borderId="0" xfId="3" applyFont="1" applyBorder="1" applyAlignment="1">
      <alignment vertical="center" wrapText="1"/>
    </xf>
    <xf numFmtId="177" fontId="19" fillId="0" borderId="0" xfId="3" applyNumberFormat="1" applyFont="1" applyBorder="1">
      <alignment vertical="center"/>
    </xf>
    <xf numFmtId="0" fontId="19" fillId="0" borderId="0" xfId="3" applyFont="1" applyBorder="1" applyAlignment="1">
      <alignment horizontal="center" vertical="center" wrapText="1"/>
    </xf>
    <xf numFmtId="0" fontId="24" fillId="0" borderId="1" xfId="3" applyFont="1" applyBorder="1" applyAlignment="1">
      <alignment vertical="center"/>
    </xf>
    <xf numFmtId="0" fontId="24" fillId="0" borderId="0" xfId="3" applyFont="1" applyBorder="1" applyAlignment="1">
      <alignment vertical="center"/>
    </xf>
    <xf numFmtId="0" fontId="34" fillId="0" borderId="0" xfId="4" applyFont="1">
      <alignment vertical="center"/>
    </xf>
    <xf numFmtId="0" fontId="12" fillId="0" borderId="0" xfId="4" applyFont="1">
      <alignment vertical="center"/>
    </xf>
    <xf numFmtId="0" fontId="20" fillId="6" borderId="0" xfId="4" applyFont="1" applyFill="1">
      <alignment vertical="center"/>
    </xf>
    <xf numFmtId="0" fontId="14" fillId="6" borderId="0" xfId="4" applyFill="1">
      <alignment vertical="center"/>
    </xf>
    <xf numFmtId="0" fontId="26" fillId="4" borderId="1" xfId="1" applyFont="1" applyFill="1" applyBorder="1" applyAlignment="1">
      <alignment horizontal="center" vertical="center"/>
    </xf>
    <xf numFmtId="0" fontId="22" fillId="6" borderId="0" xfId="3" applyFont="1" applyFill="1" applyAlignment="1">
      <alignment horizontal="center" vertical="center"/>
    </xf>
    <xf numFmtId="0" fontId="22" fillId="0" borderId="0" xfId="3" applyFont="1" applyBorder="1">
      <alignment vertical="center"/>
    </xf>
    <xf numFmtId="177" fontId="19" fillId="0" borderId="0" xfId="3" applyNumberFormat="1" applyFont="1" applyBorder="1" applyAlignment="1">
      <alignment horizontal="center" vertical="center"/>
    </xf>
    <xf numFmtId="0" fontId="35" fillId="0" borderId="1" xfId="3" applyFont="1" applyBorder="1" applyAlignment="1">
      <alignment horizontal="center" vertical="center"/>
    </xf>
    <xf numFmtId="0" fontId="35" fillId="0" borderId="1" xfId="3" applyFont="1" applyBorder="1" applyAlignment="1">
      <alignment horizontal="center" vertical="center" wrapText="1"/>
    </xf>
    <xf numFmtId="0" fontId="35" fillId="0" borderId="1" xfId="3" applyFont="1" applyFill="1" applyBorder="1" applyAlignment="1">
      <alignment horizontal="center" vertical="center" wrapText="1"/>
    </xf>
    <xf numFmtId="0" fontId="32" fillId="0" borderId="1" xfId="3" applyFont="1" applyBorder="1" applyAlignment="1">
      <alignment horizontal="center" vertical="center" wrapText="1"/>
    </xf>
    <xf numFmtId="0" fontId="32" fillId="0" borderId="1" xfId="6" applyFont="1" applyBorder="1">
      <alignment vertical="center"/>
    </xf>
    <xf numFmtId="0" fontId="32" fillId="0" borderId="1" xfId="3" applyFont="1" applyBorder="1">
      <alignment vertical="center"/>
    </xf>
    <xf numFmtId="0" fontId="35" fillId="0" borderId="1" xfId="3" applyFont="1" applyBorder="1">
      <alignment vertical="center"/>
    </xf>
    <xf numFmtId="0" fontId="32" fillId="0" borderId="1" xfId="3" applyFont="1" applyBorder="1" applyAlignment="1">
      <alignment vertical="center" wrapText="1"/>
    </xf>
    <xf numFmtId="177" fontId="32" fillId="0" borderId="1" xfId="3" applyNumberFormat="1" applyFont="1" applyBorder="1">
      <alignment vertical="center"/>
    </xf>
    <xf numFmtId="0" fontId="35" fillId="0" borderId="1" xfId="3" applyFont="1" applyBorder="1" applyAlignment="1">
      <alignment vertical="center" wrapText="1"/>
    </xf>
    <xf numFmtId="177" fontId="32" fillId="0" borderId="1" xfId="6" applyNumberFormat="1" applyFont="1" applyBorder="1" applyAlignment="1">
      <alignment horizontal="center" vertical="center"/>
    </xf>
    <xf numFmtId="0" fontId="35" fillId="0" borderId="1" xfId="3" applyFont="1" applyBorder="1" applyAlignment="1">
      <alignment vertical="center"/>
    </xf>
    <xf numFmtId="0" fontId="35" fillId="0" borderId="1" xfId="3" applyFont="1" applyBorder="1" applyAlignment="1">
      <alignment horizontal="center" vertical="center"/>
    </xf>
    <xf numFmtId="0" fontId="36" fillId="0" borderId="1" xfId="3" applyFont="1" applyFill="1" applyBorder="1" applyAlignment="1">
      <alignment vertical="center"/>
    </xf>
    <xf numFmtId="0" fontId="36" fillId="0" borderId="1" xfId="3" applyFont="1" applyFill="1" applyBorder="1">
      <alignment vertical="center"/>
    </xf>
    <xf numFmtId="0" fontId="36" fillId="0" borderId="1" xfId="3" applyFont="1" applyBorder="1" applyAlignment="1">
      <alignment vertical="center"/>
    </xf>
    <xf numFmtId="0" fontId="36" fillId="0" borderId="1" xfId="3" applyFont="1" applyBorder="1" applyAlignment="1">
      <alignment vertical="center" wrapText="1"/>
    </xf>
    <xf numFmtId="0" fontId="26" fillId="0" borderId="0" xfId="4" applyFont="1">
      <alignment vertical="center"/>
    </xf>
    <xf numFmtId="0" fontId="20" fillId="0" borderId="0" xfId="4" applyFont="1" applyBorder="1">
      <alignment vertical="center"/>
    </xf>
    <xf numFmtId="0" fontId="11" fillId="0" borderId="0" xfId="4" applyFont="1">
      <alignment vertical="center"/>
    </xf>
    <xf numFmtId="0" fontId="20" fillId="9" borderId="0" xfId="4" applyFont="1" applyFill="1">
      <alignment vertical="center"/>
    </xf>
    <xf numFmtId="0" fontId="14" fillId="9" borderId="0" xfId="4" applyFill="1">
      <alignment vertical="center"/>
    </xf>
    <xf numFmtId="0" fontId="38" fillId="9" borderId="0" xfId="4" applyFont="1" applyFill="1">
      <alignment vertical="center"/>
    </xf>
    <xf numFmtId="0" fontId="39" fillId="9" borderId="0" xfId="3" applyFont="1" applyFill="1" applyBorder="1" applyAlignment="1">
      <alignment vertical="center" wrapText="1"/>
    </xf>
    <xf numFmtId="0" fontId="40" fillId="9" borderId="0" xfId="3" applyFont="1" applyFill="1" applyBorder="1" applyAlignment="1">
      <alignment vertical="center" wrapText="1"/>
    </xf>
    <xf numFmtId="0" fontId="10" fillId="0" borderId="0" xfId="8">
      <alignment vertical="center"/>
    </xf>
    <xf numFmtId="0" fontId="10" fillId="0" borderId="1" xfId="8" applyBorder="1">
      <alignment vertical="center"/>
    </xf>
    <xf numFmtId="0" fontId="10" fillId="0" borderId="1" xfId="8" applyFill="1" applyBorder="1">
      <alignment vertical="center"/>
    </xf>
    <xf numFmtId="49" fontId="10" fillId="0" borderId="1" xfId="8" applyNumberFormat="1" applyBorder="1" applyAlignment="1">
      <alignment horizontal="left" vertical="center"/>
    </xf>
    <xf numFmtId="0" fontId="41" fillId="0" borderId="1" xfId="8" applyFont="1" applyFill="1" applyBorder="1">
      <alignment vertical="center"/>
    </xf>
    <xf numFmtId="0" fontId="35" fillId="5" borderId="1" xfId="3" applyFont="1" applyFill="1" applyBorder="1">
      <alignment vertical="center"/>
    </xf>
    <xf numFmtId="0" fontId="35" fillId="5" borderId="1" xfId="3" applyFont="1" applyFill="1" applyBorder="1" applyAlignment="1">
      <alignment vertical="center" wrapText="1"/>
    </xf>
    <xf numFmtId="0" fontId="35" fillId="0" borderId="1" xfId="3" applyFont="1" applyFill="1" applyBorder="1">
      <alignment vertical="center"/>
    </xf>
    <xf numFmtId="0" fontId="35" fillId="0" borderId="1" xfId="3" applyFont="1" applyFill="1" applyBorder="1" applyAlignment="1">
      <alignment horizontal="center" vertical="center"/>
    </xf>
    <xf numFmtId="2" fontId="20" fillId="0" borderId="0" xfId="4" applyNumberFormat="1" applyFont="1">
      <alignment vertical="center"/>
    </xf>
    <xf numFmtId="2" fontId="14" fillId="0" borderId="0" xfId="4" applyNumberFormat="1">
      <alignment vertical="center"/>
    </xf>
    <xf numFmtId="2" fontId="20" fillId="9" borderId="0" xfId="4" applyNumberFormat="1" applyFont="1" applyFill="1">
      <alignment vertical="center"/>
    </xf>
    <xf numFmtId="2" fontId="34" fillId="0" borderId="0" xfId="4" applyNumberFormat="1" applyFont="1">
      <alignment vertical="center"/>
    </xf>
    <xf numFmtId="2" fontId="14" fillId="0" borderId="0" xfId="4" applyNumberFormat="1" applyAlignment="1">
      <alignment vertical="center"/>
    </xf>
    <xf numFmtId="2" fontId="20" fillId="0" borderId="0" xfId="4" applyNumberFormat="1" applyFont="1" applyAlignment="1">
      <alignment vertical="center"/>
    </xf>
    <xf numFmtId="2" fontId="14" fillId="6" borderId="0" xfId="4" applyNumberFormat="1" applyFill="1" applyAlignment="1">
      <alignment vertical="center"/>
    </xf>
    <xf numFmtId="2" fontId="20" fillId="6" borderId="0" xfId="4" applyNumberFormat="1" applyFont="1" applyFill="1" applyAlignment="1">
      <alignment vertical="center"/>
    </xf>
    <xf numFmtId="180" fontId="34" fillId="0" borderId="0" xfId="4" applyNumberFormat="1" applyFont="1">
      <alignment vertical="center"/>
    </xf>
    <xf numFmtId="181" fontId="14" fillId="0" borderId="0" xfId="4" applyNumberFormat="1">
      <alignment vertical="center"/>
    </xf>
    <xf numFmtId="182" fontId="20" fillId="0" borderId="0" xfId="4" applyNumberFormat="1" applyFont="1" applyAlignment="1">
      <alignment horizontal="right" vertical="center"/>
    </xf>
    <xf numFmtId="0" fontId="20" fillId="0" borderId="0" xfId="4" applyFont="1" applyAlignment="1">
      <alignment horizontal="right" vertical="center"/>
    </xf>
    <xf numFmtId="180" fontId="26" fillId="0" borderId="0" xfId="3" applyNumberFormat="1" applyFont="1">
      <alignment vertical="center"/>
    </xf>
    <xf numFmtId="40" fontId="26" fillId="0" borderId="0" xfId="9" applyNumberFormat="1" applyFont="1">
      <alignment vertical="center"/>
    </xf>
    <xf numFmtId="2" fontId="26" fillId="0" borderId="0" xfId="3" applyNumberFormat="1" applyFont="1">
      <alignment vertical="center"/>
    </xf>
    <xf numFmtId="40" fontId="26" fillId="0" borderId="0" xfId="3" applyNumberFormat="1" applyFont="1">
      <alignment vertical="center"/>
    </xf>
    <xf numFmtId="178" fontId="20" fillId="0" borderId="0" xfId="4" applyNumberFormat="1" applyFont="1" applyAlignment="1">
      <alignment vertical="center"/>
    </xf>
    <xf numFmtId="0" fontId="26" fillId="0" borderId="0" xfId="10" applyFont="1">
      <alignment vertical="center"/>
    </xf>
    <xf numFmtId="183" fontId="26" fillId="0" borderId="0" xfId="10" applyNumberFormat="1" applyFont="1">
      <alignment vertical="center"/>
    </xf>
    <xf numFmtId="183" fontId="26" fillId="0" borderId="0" xfId="10" applyNumberFormat="1" applyFont="1" applyAlignment="1">
      <alignment horizontal="center" vertical="center"/>
    </xf>
    <xf numFmtId="0" fontId="35" fillId="0" borderId="1" xfId="3" applyFont="1" applyBorder="1" applyAlignment="1">
      <alignment horizontal="center" vertical="center"/>
    </xf>
    <xf numFmtId="0" fontId="26" fillId="5" borderId="6" xfId="1" applyFont="1" applyFill="1" applyBorder="1" applyAlignment="1">
      <alignment horizontal="center" vertical="center"/>
    </xf>
    <xf numFmtId="0" fontId="26" fillId="5" borderId="7" xfId="1" applyFont="1" applyFill="1" applyBorder="1" applyAlignment="1">
      <alignment horizontal="center" vertical="center"/>
    </xf>
    <xf numFmtId="0" fontId="26" fillId="5" borderId="2" xfId="1" applyFont="1" applyFill="1" applyBorder="1" applyAlignment="1">
      <alignment horizontal="center" vertical="center"/>
    </xf>
    <xf numFmtId="0" fontId="26" fillId="5" borderId="1" xfId="1" applyFont="1" applyFill="1" applyBorder="1" applyAlignment="1">
      <alignment horizontal="center" vertical="center"/>
    </xf>
    <xf numFmtId="38" fontId="28" fillId="0" borderId="1" xfId="9" applyFont="1" applyFill="1" applyBorder="1">
      <alignment vertical="center"/>
    </xf>
    <xf numFmtId="38" fontId="28" fillId="0" borderId="1" xfId="9" applyFont="1" applyFill="1" applyBorder="1" applyAlignment="1">
      <alignment horizontal="center" vertical="center"/>
    </xf>
    <xf numFmtId="0" fontId="19" fillId="0" borderId="1" xfId="6" applyFont="1" applyBorder="1" applyAlignment="1">
      <alignment horizontal="center" vertical="center"/>
    </xf>
    <xf numFmtId="0" fontId="26" fillId="5" borderId="6" xfId="1" quotePrefix="1" applyFont="1" applyFill="1" applyBorder="1" applyAlignment="1">
      <alignment horizontal="center" vertical="center"/>
    </xf>
    <xf numFmtId="0" fontId="26" fillId="5" borderId="5" xfId="1" quotePrefix="1" applyFont="1" applyFill="1" applyBorder="1" applyAlignment="1">
      <alignment horizontal="center" vertical="center"/>
    </xf>
    <xf numFmtId="38" fontId="26" fillId="0" borderId="0" xfId="10" applyNumberFormat="1" applyFont="1">
      <alignment vertical="center"/>
    </xf>
    <xf numFmtId="0" fontId="26" fillId="0" borderId="1" xfId="10" applyFont="1" applyBorder="1">
      <alignment vertical="center"/>
    </xf>
    <xf numFmtId="38" fontId="26" fillId="0" borderId="1" xfId="10" applyNumberFormat="1" applyFont="1" applyBorder="1" applyAlignment="1">
      <alignment horizontal="center" vertical="center"/>
    </xf>
    <xf numFmtId="40" fontId="26" fillId="0" borderId="1" xfId="10" applyNumberFormat="1" applyFont="1" applyBorder="1" applyAlignment="1">
      <alignment horizontal="center" vertical="center"/>
    </xf>
    <xf numFmtId="184" fontId="26" fillId="0" borderId="1" xfId="10" applyNumberFormat="1" applyFont="1" applyBorder="1" applyAlignment="1">
      <alignment horizontal="center" vertical="center"/>
    </xf>
    <xf numFmtId="38" fontId="26" fillId="0" borderId="1" xfId="10" applyNumberFormat="1" applyFont="1" applyBorder="1">
      <alignment vertical="center"/>
    </xf>
    <xf numFmtId="38" fontId="26" fillId="0" borderId="2" xfId="9" applyFont="1" applyFill="1" applyBorder="1">
      <alignment vertical="center"/>
    </xf>
    <xf numFmtId="38" fontId="28" fillId="0" borderId="9" xfId="9" applyFont="1" applyFill="1" applyBorder="1">
      <alignment vertical="center"/>
    </xf>
    <xf numFmtId="0" fontId="26" fillId="5" borderId="1" xfId="1" quotePrefix="1" applyFont="1" applyFill="1" applyBorder="1" applyAlignment="1">
      <alignment horizontal="center" vertical="center"/>
    </xf>
    <xf numFmtId="0" fontId="26" fillId="0" borderId="2" xfId="10" applyFont="1" applyBorder="1">
      <alignment vertical="center"/>
    </xf>
    <xf numFmtId="38" fontId="26" fillId="0" borderId="2" xfId="10" applyNumberFormat="1" applyFont="1" applyBorder="1" applyAlignment="1">
      <alignment horizontal="center" vertical="center"/>
    </xf>
    <xf numFmtId="0" fontId="26" fillId="4" borderId="21" xfId="1" applyFont="1" applyFill="1" applyBorder="1">
      <alignment vertical="center"/>
    </xf>
    <xf numFmtId="38" fontId="26" fillId="0" borderId="21" xfId="9" applyFont="1" applyFill="1" applyBorder="1">
      <alignment vertical="center"/>
    </xf>
    <xf numFmtId="0" fontId="26" fillId="0" borderId="9" xfId="10" applyFont="1" applyBorder="1">
      <alignment vertical="center"/>
    </xf>
    <xf numFmtId="40" fontId="26" fillId="0" borderId="1" xfId="10" applyNumberFormat="1" applyFont="1" applyBorder="1">
      <alignment vertical="center"/>
    </xf>
    <xf numFmtId="0" fontId="26" fillId="5" borderId="1" xfId="1" quotePrefix="1" applyFont="1" applyFill="1" applyBorder="1" applyAlignment="1">
      <alignment horizontal="center" vertical="center" wrapText="1"/>
    </xf>
    <xf numFmtId="40" fontId="26" fillId="0" borderId="9" xfId="10" applyNumberFormat="1" applyFont="1" applyBorder="1">
      <alignment vertical="center"/>
    </xf>
    <xf numFmtId="0" fontId="32" fillId="0" borderId="0" xfId="6" applyFont="1">
      <alignment vertical="center"/>
    </xf>
    <xf numFmtId="0" fontId="32" fillId="0" borderId="0" xfId="3" applyFont="1" applyBorder="1" applyAlignment="1">
      <alignment vertical="center" wrapText="1"/>
    </xf>
    <xf numFmtId="0" fontId="30" fillId="6" borderId="1" xfId="6" applyNumberFormat="1" applyFont="1" applyFill="1" applyBorder="1" applyAlignment="1">
      <alignment horizontal="center" vertical="center"/>
    </xf>
    <xf numFmtId="0" fontId="19" fillId="6" borderId="1" xfId="6" applyNumberFormat="1" applyFont="1" applyFill="1" applyBorder="1" applyAlignment="1">
      <alignment horizontal="center" vertical="center"/>
    </xf>
    <xf numFmtId="0" fontId="24" fillId="6" borderId="1" xfId="6" applyFont="1" applyFill="1" applyBorder="1">
      <alignment vertical="center"/>
    </xf>
    <xf numFmtId="0" fontId="24" fillId="6" borderId="1" xfId="6" applyNumberFormat="1" applyFont="1" applyFill="1" applyBorder="1" applyAlignment="1">
      <alignment horizontal="center" vertical="center"/>
    </xf>
    <xf numFmtId="179" fontId="19" fillId="6" borderId="1" xfId="6" quotePrefix="1" applyNumberFormat="1" applyFont="1" applyFill="1" applyBorder="1" applyAlignment="1">
      <alignment horizontal="center" vertical="center"/>
    </xf>
    <xf numFmtId="0" fontId="30" fillId="6" borderId="1" xfId="6" applyFont="1" applyFill="1" applyBorder="1" applyAlignment="1">
      <alignment horizontal="center" vertical="center"/>
    </xf>
    <xf numFmtId="0" fontId="30" fillId="6" borderId="16" xfId="6" applyFont="1" applyFill="1" applyBorder="1" applyAlignment="1">
      <alignment horizontal="center" vertical="center"/>
    </xf>
    <xf numFmtId="0" fontId="30" fillId="6" borderId="5" xfId="6" applyFont="1" applyFill="1" applyBorder="1" applyAlignment="1">
      <alignment horizontal="center" vertical="center"/>
    </xf>
    <xf numFmtId="0" fontId="19" fillId="2" borderId="16" xfId="6" applyFont="1" applyFill="1" applyBorder="1" applyAlignment="1">
      <alignment horizontal="center" vertical="center"/>
    </xf>
    <xf numFmtId="0" fontId="30" fillId="2" borderId="5" xfId="6" applyFont="1" applyFill="1" applyBorder="1" applyAlignment="1">
      <alignment horizontal="center" vertical="center"/>
    </xf>
    <xf numFmtId="0" fontId="30" fillId="2" borderId="1" xfId="6" applyFont="1" applyFill="1" applyBorder="1" applyAlignment="1">
      <alignment horizontal="center" vertical="center"/>
    </xf>
    <xf numFmtId="0" fontId="30" fillId="2" borderId="16" xfId="6" applyFont="1" applyFill="1" applyBorder="1" applyAlignment="1">
      <alignment horizontal="center" vertical="center"/>
    </xf>
    <xf numFmtId="0" fontId="19" fillId="0" borderId="1" xfId="6" applyFont="1" applyBorder="1" applyAlignment="1">
      <alignment horizontal="center" vertical="center"/>
    </xf>
    <xf numFmtId="0" fontId="35" fillId="7" borderId="1" xfId="3" applyFont="1" applyFill="1" applyBorder="1" applyAlignment="1">
      <alignment horizontal="center" vertical="center"/>
    </xf>
    <xf numFmtId="0" fontId="35" fillId="7" borderId="1" xfId="3" applyFont="1" applyFill="1" applyBorder="1" applyAlignment="1">
      <alignment horizontal="center" vertical="center" wrapText="1"/>
    </xf>
    <xf numFmtId="0" fontId="32" fillId="7" borderId="1" xfId="3" applyFont="1" applyFill="1" applyBorder="1" applyAlignment="1">
      <alignment horizontal="center" vertical="center" wrapText="1"/>
    </xf>
    <xf numFmtId="0" fontId="19" fillId="7" borderId="1" xfId="3" applyFont="1" applyFill="1" applyBorder="1" applyAlignment="1">
      <alignment horizontal="center" vertical="center" wrapText="1"/>
    </xf>
    <xf numFmtId="180" fontId="14" fillId="0" borderId="0" xfId="4" applyNumberFormat="1">
      <alignment vertical="center"/>
    </xf>
    <xf numFmtId="0" fontId="28" fillId="0" borderId="1" xfId="4" applyFont="1" applyFill="1" applyBorder="1" applyAlignment="1">
      <alignment horizontal="center" vertical="center"/>
    </xf>
    <xf numFmtId="0" fontId="26" fillId="0" borderId="1" xfId="0" applyFont="1" applyFill="1" applyBorder="1" applyAlignment="1">
      <alignment horizontal="center" vertical="center" wrapText="1"/>
    </xf>
    <xf numFmtId="0" fontId="26" fillId="5" borderId="7" xfId="1" applyFont="1" applyFill="1" applyBorder="1" applyAlignment="1">
      <alignment horizontal="center" vertical="center"/>
    </xf>
    <xf numFmtId="38" fontId="26" fillId="0" borderId="1" xfId="10" applyNumberFormat="1" applyFont="1" applyBorder="1" applyAlignment="1">
      <alignment horizontal="center" vertical="center"/>
    </xf>
    <xf numFmtId="38" fontId="26" fillId="0" borderId="2" xfId="10" applyNumberFormat="1" applyFont="1" applyBorder="1" applyAlignment="1">
      <alignment horizontal="center" vertical="center"/>
    </xf>
    <xf numFmtId="184" fontId="26" fillId="0" borderId="1" xfId="10" applyNumberFormat="1" applyFont="1" applyBorder="1" applyAlignment="1">
      <alignment horizontal="center" vertical="center"/>
    </xf>
    <xf numFmtId="40" fontId="26" fillId="0" borderId="1" xfId="10" applyNumberFormat="1" applyFont="1" applyBorder="1" applyAlignment="1">
      <alignment horizontal="center" vertical="center"/>
    </xf>
    <xf numFmtId="0" fontId="26" fillId="0" borderId="1" xfId="0" applyFont="1" applyFill="1" applyBorder="1" applyAlignment="1">
      <alignment horizontal="center" vertical="center"/>
    </xf>
    <xf numFmtId="0" fontId="26" fillId="0" borderId="1" xfId="4" applyFont="1" applyFill="1" applyBorder="1" applyAlignment="1">
      <alignment horizontal="center" vertical="center"/>
    </xf>
    <xf numFmtId="0" fontId="28" fillId="0" borderId="1" xfId="0" applyFont="1" applyFill="1" applyBorder="1" applyAlignment="1">
      <alignment horizontal="center" vertical="center" wrapText="1"/>
    </xf>
    <xf numFmtId="0" fontId="19" fillId="0" borderId="0" xfId="6" applyFont="1" applyFill="1">
      <alignment vertical="center"/>
    </xf>
    <xf numFmtId="0" fontId="24" fillId="0" borderId="1" xfId="6" applyFont="1" applyBorder="1">
      <alignment vertical="center"/>
    </xf>
    <xf numFmtId="0" fontId="30" fillId="6" borderId="1" xfId="6" applyNumberFormat="1" applyFont="1" applyFill="1" applyBorder="1">
      <alignment vertical="center"/>
    </xf>
    <xf numFmtId="0" fontId="30" fillId="0" borderId="1" xfId="6" applyNumberFormat="1" applyFont="1" applyFill="1" applyBorder="1">
      <alignment vertical="center"/>
    </xf>
    <xf numFmtId="0" fontId="19" fillId="6" borderId="1" xfId="6" quotePrefix="1" applyNumberFormat="1" applyFont="1" applyFill="1" applyBorder="1" applyAlignment="1">
      <alignment horizontal="center" vertical="center"/>
    </xf>
    <xf numFmtId="0" fontId="10" fillId="0" borderId="0" xfId="8" applyFill="1">
      <alignment vertical="center"/>
    </xf>
    <xf numFmtId="0" fontId="26" fillId="0" borderId="1" xfId="4" applyFont="1" applyFill="1" applyBorder="1" applyAlignment="1">
      <alignment horizontal="center" vertical="center"/>
    </xf>
    <xf numFmtId="0" fontId="28" fillId="0" borderId="1" xfId="4" applyFont="1" applyFill="1" applyBorder="1" applyAlignment="1">
      <alignment horizontal="center" vertical="center" wrapText="1"/>
    </xf>
    <xf numFmtId="0" fontId="6" fillId="0" borderId="0" xfId="4" applyFont="1">
      <alignment vertical="center"/>
    </xf>
    <xf numFmtId="0" fontId="6" fillId="0" borderId="0" xfId="8" applyFont="1" applyFill="1">
      <alignment vertical="center"/>
    </xf>
    <xf numFmtId="0" fontId="19" fillId="7" borderId="26" xfId="6" applyFont="1" applyFill="1" applyBorder="1" applyAlignment="1">
      <alignment horizontal="center" vertical="center" wrapText="1"/>
    </xf>
    <xf numFmtId="177" fontId="32" fillId="0" borderId="6" xfId="3" applyNumberFormat="1" applyFont="1" applyBorder="1" applyAlignment="1">
      <alignment horizontal="center" vertical="center"/>
    </xf>
    <xf numFmtId="0" fontId="32" fillId="0" borderId="0" xfId="6" applyFont="1" applyBorder="1">
      <alignment vertical="center"/>
    </xf>
    <xf numFmtId="0" fontId="10" fillId="6" borderId="1" xfId="8" applyFill="1" applyBorder="1">
      <alignment vertical="center"/>
    </xf>
    <xf numFmtId="0" fontId="41" fillId="6" borderId="1" xfId="8" applyFont="1" applyFill="1" applyBorder="1">
      <alignment vertical="center"/>
    </xf>
    <xf numFmtId="0" fontId="5" fillId="0" borderId="0" xfId="8" applyFont="1">
      <alignment vertical="center"/>
    </xf>
    <xf numFmtId="0" fontId="32" fillId="0" borderId="1" xfId="0" applyFont="1" applyFill="1" applyBorder="1" applyAlignment="1">
      <alignment horizontal="center" vertical="center"/>
    </xf>
    <xf numFmtId="0" fontId="24" fillId="7" borderId="4" xfId="3" applyFont="1" applyFill="1" applyBorder="1" applyAlignment="1">
      <alignment horizontal="center" vertical="center"/>
    </xf>
    <xf numFmtId="0" fontId="10" fillId="10" borderId="1" xfId="8" applyFill="1" applyBorder="1">
      <alignment vertical="center"/>
    </xf>
    <xf numFmtId="0" fontId="37" fillId="8" borderId="2" xfId="8" applyFont="1" applyFill="1" applyBorder="1" applyAlignment="1">
      <alignment horizontal="center" vertical="center"/>
    </xf>
    <xf numFmtId="40" fontId="44" fillId="0" borderId="9" xfId="10" applyNumberFormat="1" applyFont="1" applyBorder="1" applyAlignment="1">
      <alignment horizontal="center" vertical="center"/>
    </xf>
    <xf numFmtId="0" fontId="29" fillId="4" borderId="0" xfId="0" applyFont="1" applyFill="1"/>
    <xf numFmtId="0" fontId="26" fillId="4" borderId="0" xfId="10" applyFont="1" applyFill="1">
      <alignment vertical="center"/>
    </xf>
    <xf numFmtId="183" fontId="26" fillId="4" borderId="0" xfId="10" applyNumberFormat="1" applyFont="1" applyFill="1">
      <alignment vertical="center"/>
    </xf>
    <xf numFmtId="0" fontId="26" fillId="4" borderId="13" xfId="10" applyFont="1" applyFill="1" applyBorder="1" applyAlignment="1">
      <alignment horizontal="center" vertical="center"/>
    </xf>
    <xf numFmtId="0" fontId="32" fillId="0" borderId="4" xfId="0" applyFont="1" applyFill="1" applyBorder="1" applyAlignment="1">
      <alignment horizontal="center" vertical="center"/>
    </xf>
    <xf numFmtId="0" fontId="35" fillId="0" borderId="5" xfId="3" applyFont="1" applyFill="1" applyBorder="1" applyAlignment="1">
      <alignment horizontal="center" vertical="center"/>
    </xf>
    <xf numFmtId="40" fontId="14" fillId="0" borderId="1" xfId="4" applyNumberFormat="1" applyBorder="1">
      <alignment vertical="center"/>
    </xf>
    <xf numFmtId="181" fontId="20" fillId="0" borderId="1" xfId="4" applyNumberFormat="1" applyFont="1" applyBorder="1">
      <alignment vertical="center"/>
    </xf>
    <xf numFmtId="185" fontId="20" fillId="0" borderId="1" xfId="4" applyNumberFormat="1" applyFont="1" applyBorder="1">
      <alignment vertical="center"/>
    </xf>
    <xf numFmtId="0" fontId="37" fillId="8" borderId="5" xfId="8" applyFont="1" applyFill="1" applyBorder="1" applyAlignment="1">
      <alignment horizontal="center" vertical="center" wrapText="1"/>
    </xf>
    <xf numFmtId="0" fontId="10" fillId="4" borderId="0" xfId="8" applyFill="1">
      <alignment vertical="center"/>
    </xf>
    <xf numFmtId="0" fontId="5" fillId="4" borderId="0" xfId="8" applyFont="1" applyFill="1">
      <alignment vertical="center"/>
    </xf>
    <xf numFmtId="0" fontId="24" fillId="0" borderId="1" xfId="3" applyFont="1" applyBorder="1" applyAlignment="1">
      <alignment horizontal="center" vertical="center" wrapText="1"/>
    </xf>
    <xf numFmtId="0" fontId="34" fillId="7" borderId="1" xfId="4" applyFont="1" applyFill="1" applyBorder="1" applyAlignment="1">
      <alignment horizontal="center" vertical="center" wrapText="1"/>
    </xf>
    <xf numFmtId="178" fontId="20" fillId="0" borderId="1" xfId="4" applyNumberFormat="1" applyFont="1" applyBorder="1">
      <alignment vertical="center"/>
    </xf>
    <xf numFmtId="185" fontId="32" fillId="0" borderId="1" xfId="3" applyNumberFormat="1" applyFont="1" applyFill="1" applyBorder="1" applyAlignment="1">
      <alignment vertical="center" wrapText="1"/>
    </xf>
    <xf numFmtId="0" fontId="34" fillId="7" borderId="1" xfId="4" applyFont="1" applyFill="1" applyBorder="1" applyAlignment="1">
      <alignment horizontal="center" vertical="center"/>
    </xf>
    <xf numFmtId="0" fontId="19" fillId="0" borderId="5" xfId="6" applyFont="1" applyBorder="1" applyAlignment="1">
      <alignment horizontal="center" vertical="center"/>
    </xf>
    <xf numFmtId="0" fontId="8" fillId="0" borderId="1" xfId="4" applyFont="1" applyBorder="1">
      <alignment vertical="center"/>
    </xf>
    <xf numFmtId="2" fontId="14" fillId="0" borderId="1" xfId="4" applyNumberFormat="1" applyBorder="1">
      <alignment vertical="center"/>
    </xf>
    <xf numFmtId="0" fontId="14" fillId="0" borderId="0" xfId="4" applyFill="1">
      <alignment vertical="center"/>
    </xf>
    <xf numFmtId="0" fontId="7" fillId="0" borderId="0" xfId="4" applyFont="1" applyFill="1" applyAlignment="1">
      <alignment vertical="center"/>
    </xf>
    <xf numFmtId="0" fontId="14" fillId="0" borderId="0" xfId="4" applyFill="1" applyAlignment="1">
      <alignment vertical="center"/>
    </xf>
    <xf numFmtId="2" fontId="14" fillId="0" borderId="0" xfId="4" applyNumberFormat="1" applyFill="1">
      <alignment vertical="center"/>
    </xf>
    <xf numFmtId="0" fontId="2" fillId="0" borderId="1" xfId="4" applyFont="1" applyBorder="1">
      <alignment vertical="center"/>
    </xf>
    <xf numFmtId="177" fontId="14" fillId="0" borderId="1" xfId="4" applyNumberFormat="1" applyBorder="1">
      <alignment vertical="center"/>
    </xf>
    <xf numFmtId="185" fontId="14" fillId="0" borderId="1" xfId="4" applyNumberFormat="1" applyBorder="1">
      <alignment vertical="center"/>
    </xf>
    <xf numFmtId="177" fontId="20" fillId="0" borderId="1" xfId="4" applyNumberFormat="1" applyFont="1" applyBorder="1">
      <alignment vertical="center"/>
    </xf>
    <xf numFmtId="185" fontId="32" fillId="0" borderId="6" xfId="3" applyNumberFormat="1" applyFont="1" applyFill="1" applyBorder="1">
      <alignment vertical="center"/>
    </xf>
    <xf numFmtId="0" fontId="32" fillId="7" borderId="4" xfId="6" applyFont="1" applyFill="1" applyBorder="1" applyAlignment="1">
      <alignment horizontal="center" vertical="center" wrapText="1"/>
    </xf>
    <xf numFmtId="185" fontId="36" fillId="10" borderId="32" xfId="6" applyNumberFormat="1" applyFont="1" applyFill="1" applyBorder="1" applyAlignment="1">
      <alignment horizontal="center" vertical="center"/>
    </xf>
    <xf numFmtId="185" fontId="36" fillId="10" borderId="37" xfId="3" applyNumberFormat="1" applyFont="1" applyFill="1" applyBorder="1" applyAlignment="1">
      <alignment horizontal="center" vertical="center"/>
    </xf>
    <xf numFmtId="185" fontId="36" fillId="0" borderId="32" xfId="3" applyNumberFormat="1" applyFont="1" applyFill="1" applyBorder="1" applyAlignment="1">
      <alignment horizontal="center" vertical="center"/>
    </xf>
    <xf numFmtId="2" fontId="34" fillId="7" borderId="1" xfId="4" applyNumberFormat="1" applyFont="1" applyFill="1" applyBorder="1" applyAlignment="1">
      <alignment horizontal="center" vertical="center" wrapText="1"/>
    </xf>
    <xf numFmtId="0" fontId="19" fillId="0" borderId="38" xfId="6" applyFont="1" applyBorder="1" applyAlignment="1">
      <alignment horizontal="center" vertical="center"/>
    </xf>
    <xf numFmtId="186" fontId="22" fillId="0" borderId="30" xfId="9" applyNumberFormat="1" applyFont="1" applyBorder="1" applyAlignment="1">
      <alignment horizontal="center" vertical="center"/>
    </xf>
    <xf numFmtId="186" fontId="22" fillId="0" borderId="30" xfId="9" applyNumberFormat="1" applyFont="1" applyBorder="1" applyAlignment="1">
      <alignment horizontal="center" vertical="top"/>
    </xf>
    <xf numFmtId="0" fontId="20" fillId="0" borderId="0" xfId="4" applyFont="1" applyAlignment="1">
      <alignment horizontal="center" vertical="center"/>
    </xf>
    <xf numFmtId="0" fontId="26" fillId="0" borderId="2" xfId="4" applyFont="1" applyFill="1" applyBorder="1" applyAlignment="1">
      <alignment horizontal="center" vertical="center"/>
    </xf>
    <xf numFmtId="183" fontId="26" fillId="4" borderId="0" xfId="10" applyNumberFormat="1" applyFont="1" applyFill="1" applyAlignment="1">
      <alignment horizontal="center" vertical="center"/>
    </xf>
    <xf numFmtId="0" fontId="1" fillId="0" borderId="0" xfId="11">
      <alignment vertical="center"/>
    </xf>
    <xf numFmtId="2" fontId="1" fillId="11" borderId="0" xfId="11" applyNumberFormat="1" applyFill="1">
      <alignment vertical="center"/>
    </xf>
    <xf numFmtId="2" fontId="1" fillId="0" borderId="0" xfId="11" applyNumberFormat="1">
      <alignment vertical="center"/>
    </xf>
    <xf numFmtId="0" fontId="1" fillId="0" borderId="1" xfId="11" applyBorder="1">
      <alignment vertical="center"/>
    </xf>
    <xf numFmtId="0" fontId="1" fillId="5" borderId="1" xfId="11" applyFill="1" applyBorder="1">
      <alignment vertical="center"/>
    </xf>
    <xf numFmtId="176" fontId="1" fillId="0" borderId="1" xfId="11" applyNumberFormat="1" applyBorder="1">
      <alignment vertical="center"/>
    </xf>
    <xf numFmtId="2" fontId="1" fillId="0" borderId="1" xfId="11" applyNumberFormat="1" applyBorder="1">
      <alignment vertical="center"/>
    </xf>
    <xf numFmtId="0" fontId="0" fillId="5" borderId="1" xfId="11" applyFont="1" applyFill="1" applyBorder="1">
      <alignment vertical="center"/>
    </xf>
    <xf numFmtId="2" fontId="1" fillId="5" borderId="1" xfId="11" applyNumberFormat="1" applyFill="1" applyBorder="1">
      <alignment vertical="center"/>
    </xf>
    <xf numFmtId="176" fontId="1" fillId="0" borderId="0" xfId="11" applyNumberFormat="1">
      <alignment vertical="center"/>
    </xf>
    <xf numFmtId="0" fontId="1" fillId="6" borderId="0" xfId="11" applyFill="1">
      <alignment vertical="center"/>
    </xf>
    <xf numFmtId="0" fontId="1" fillId="7" borderId="0" xfId="11" applyFill="1">
      <alignment vertical="center"/>
    </xf>
    <xf numFmtId="0" fontId="1" fillId="10" borderId="0" xfId="11" applyFill="1">
      <alignment vertical="center"/>
    </xf>
    <xf numFmtId="0" fontId="28" fillId="12" borderId="1" xfId="4" applyFont="1" applyFill="1" applyBorder="1" applyAlignment="1">
      <alignment horizontal="center" vertical="center"/>
    </xf>
    <xf numFmtId="0" fontId="26" fillId="12" borderId="1" xfId="4" applyFont="1" applyFill="1" applyBorder="1" applyAlignment="1">
      <alignment horizontal="center" vertical="center"/>
    </xf>
    <xf numFmtId="0" fontId="28" fillId="5" borderId="1" xfId="4" applyFont="1" applyFill="1" applyBorder="1" applyAlignment="1">
      <alignment horizontal="center" vertical="center"/>
    </xf>
    <xf numFmtId="0" fontId="20" fillId="0" borderId="0" xfId="4" applyFont="1" applyBorder="1" applyAlignment="1">
      <alignment horizontal="center" vertical="center" wrapText="1"/>
    </xf>
    <xf numFmtId="0" fontId="28" fillId="0" borderId="2" xfId="4" applyFont="1" applyFill="1" applyBorder="1" applyAlignment="1">
      <alignment horizontal="center" vertical="center"/>
    </xf>
    <xf numFmtId="0" fontId="26" fillId="0" borderId="0" xfId="4" applyFont="1" applyFill="1" applyBorder="1" applyAlignment="1">
      <alignment horizontal="center" vertical="center" wrapText="1"/>
    </xf>
    <xf numFmtId="0" fontId="26" fillId="0" borderId="0" xfId="0" applyFont="1" applyFill="1" applyBorder="1" applyAlignment="1">
      <alignment horizontal="center" vertical="center" wrapText="1"/>
    </xf>
    <xf numFmtId="0" fontId="26" fillId="0" borderId="0" xfId="0" applyFont="1" applyFill="1" applyBorder="1" applyAlignment="1">
      <alignment horizontal="center" vertical="center"/>
    </xf>
    <xf numFmtId="2" fontId="28" fillId="12" borderId="1" xfId="4" applyNumberFormat="1" applyFont="1" applyFill="1" applyBorder="1" applyAlignment="1">
      <alignment horizontal="center" vertical="center"/>
    </xf>
    <xf numFmtId="0" fontId="1" fillId="7" borderId="1" xfId="4" applyFont="1" applyFill="1" applyBorder="1" applyAlignment="1">
      <alignment horizontal="center" vertical="center" wrapText="1"/>
    </xf>
    <xf numFmtId="0" fontId="35" fillId="0" borderId="1" xfId="3" applyFont="1" applyBorder="1" applyAlignment="1">
      <alignment horizontal="center" vertical="center"/>
    </xf>
    <xf numFmtId="0" fontId="35" fillId="0" borderId="4" xfId="3" applyFont="1" applyBorder="1" applyAlignment="1">
      <alignment horizontal="center" vertical="center"/>
    </xf>
    <xf numFmtId="0" fontId="35" fillId="0" borderId="3" xfId="3" applyFont="1" applyBorder="1" applyAlignment="1">
      <alignment horizontal="center" vertical="center"/>
    </xf>
    <xf numFmtId="0" fontId="35" fillId="0" borderId="2" xfId="3" applyFont="1" applyBorder="1" applyAlignment="1">
      <alignment horizontal="center" vertical="center"/>
    </xf>
    <xf numFmtId="177" fontId="32" fillId="0" borderId="1" xfId="6" applyNumberFormat="1" applyFont="1" applyBorder="1" applyAlignment="1">
      <alignment horizontal="center" vertical="center"/>
    </xf>
    <xf numFmtId="0" fontId="32" fillId="0" borderId="1" xfId="6" applyFont="1" applyBorder="1" applyAlignment="1">
      <alignment horizontal="center" vertical="center"/>
    </xf>
    <xf numFmtId="177" fontId="32" fillId="0" borderId="1" xfId="3" applyNumberFormat="1" applyFont="1" applyBorder="1" applyAlignment="1">
      <alignment horizontal="center" vertical="center"/>
    </xf>
    <xf numFmtId="0" fontId="32" fillId="0" borderId="1" xfId="3" applyFont="1" applyBorder="1" applyAlignment="1">
      <alignment horizontal="center" vertical="center"/>
    </xf>
    <xf numFmtId="177" fontId="32" fillId="0" borderId="6" xfId="3" applyNumberFormat="1" applyFont="1" applyBorder="1" applyAlignment="1">
      <alignment horizontal="center" vertical="center"/>
    </xf>
    <xf numFmtId="177" fontId="32" fillId="0" borderId="4" xfId="6" applyNumberFormat="1" applyFont="1" applyBorder="1" applyAlignment="1">
      <alignment horizontal="center" vertical="center"/>
    </xf>
    <xf numFmtId="177" fontId="32" fillId="0" borderId="3" xfId="6" applyNumberFormat="1" applyFont="1" applyBorder="1" applyAlignment="1">
      <alignment horizontal="center" vertical="center"/>
    </xf>
    <xf numFmtId="177" fontId="32" fillId="0" borderId="2" xfId="6" applyNumberFormat="1" applyFont="1" applyBorder="1" applyAlignment="1">
      <alignment horizontal="center" vertical="center"/>
    </xf>
    <xf numFmtId="177" fontId="36" fillId="0" borderId="27" xfId="6" applyNumberFormat="1" applyFont="1" applyBorder="1" applyAlignment="1">
      <alignment horizontal="center" vertical="center"/>
    </xf>
    <xf numFmtId="177" fontId="36" fillId="0" borderId="28" xfId="6" applyNumberFormat="1" applyFont="1" applyBorder="1" applyAlignment="1">
      <alignment horizontal="center" vertical="center"/>
    </xf>
    <xf numFmtId="177" fontId="36" fillId="0" borderId="29" xfId="6" applyNumberFormat="1" applyFont="1" applyBorder="1" applyAlignment="1">
      <alignment horizontal="center" vertical="center"/>
    </xf>
    <xf numFmtId="177" fontId="32" fillId="0" borderId="10" xfId="3" applyNumberFormat="1" applyFont="1" applyBorder="1" applyAlignment="1">
      <alignment horizontal="center" vertical="center"/>
    </xf>
    <xf numFmtId="177" fontId="32" fillId="0" borderId="13" xfId="3" applyNumberFormat="1" applyFont="1" applyBorder="1" applyAlignment="1">
      <alignment horizontal="center" vertical="center"/>
    </xf>
    <xf numFmtId="177" fontId="32" fillId="0" borderId="10" xfId="6" applyNumberFormat="1" applyFont="1" applyBorder="1" applyAlignment="1">
      <alignment horizontal="center" vertical="center"/>
    </xf>
    <xf numFmtId="177" fontId="32" fillId="0" borderId="25" xfId="6" applyNumberFormat="1" applyFont="1" applyBorder="1" applyAlignment="1">
      <alignment horizontal="center" vertical="center"/>
    </xf>
    <xf numFmtId="177" fontId="32" fillId="0" borderId="13" xfId="6" applyNumberFormat="1" applyFont="1" applyBorder="1" applyAlignment="1">
      <alignment horizontal="center" vertical="center"/>
    </xf>
    <xf numFmtId="0" fontId="19" fillId="4" borderId="4" xfId="6" applyFont="1" applyFill="1" applyBorder="1" applyAlignment="1">
      <alignment horizontal="center" vertical="center"/>
    </xf>
    <xf numFmtId="0" fontId="19" fillId="4" borderId="3" xfId="6" applyFont="1" applyFill="1" applyBorder="1" applyAlignment="1">
      <alignment horizontal="center" vertical="center"/>
    </xf>
    <xf numFmtId="0" fontId="19" fillId="4" borderId="2" xfId="6" applyFont="1" applyFill="1" applyBorder="1" applyAlignment="1">
      <alignment horizontal="center" vertical="center"/>
    </xf>
    <xf numFmtId="0" fontId="19" fillId="4" borderId="1" xfId="6" applyFont="1" applyFill="1" applyBorder="1" applyAlignment="1">
      <alignment horizontal="center" vertical="center"/>
    </xf>
    <xf numFmtId="0" fontId="19" fillId="0" borderId="4" xfId="6" applyFont="1" applyBorder="1" applyAlignment="1">
      <alignment horizontal="center" vertical="center" wrapText="1"/>
    </xf>
    <xf numFmtId="0" fontId="19" fillId="0" borderId="2" xfId="6" applyFont="1" applyBorder="1" applyAlignment="1">
      <alignment horizontal="center" vertical="center"/>
    </xf>
    <xf numFmtId="0" fontId="19" fillId="0" borderId="7" xfId="6" applyFont="1" applyBorder="1" applyAlignment="1">
      <alignment horizontal="center" vertical="center"/>
    </xf>
    <xf numFmtId="0" fontId="19" fillId="0" borderId="17" xfId="6" applyFont="1" applyBorder="1" applyAlignment="1">
      <alignment horizontal="center" vertical="center"/>
    </xf>
    <xf numFmtId="0" fontId="19" fillId="0" borderId="5" xfId="6" applyFont="1" applyBorder="1" applyAlignment="1">
      <alignment horizontal="center" vertical="center"/>
    </xf>
    <xf numFmtId="0" fontId="19" fillId="0" borderId="1" xfId="6" applyFont="1" applyBorder="1" applyAlignment="1">
      <alignment horizontal="center" vertical="center"/>
    </xf>
    <xf numFmtId="0" fontId="19" fillId="0" borderId="6" xfId="6" applyFont="1" applyBorder="1" applyAlignment="1">
      <alignment horizontal="center" vertical="center"/>
    </xf>
    <xf numFmtId="0" fontId="19" fillId="0" borderId="4" xfId="6" applyFont="1" applyBorder="1" applyAlignment="1">
      <alignment horizontal="center" vertical="center"/>
    </xf>
    <xf numFmtId="0" fontId="19" fillId="4" borderId="6" xfId="6" applyNumberFormat="1" applyFont="1" applyFill="1" applyBorder="1" applyAlignment="1">
      <alignment horizontal="center" vertical="center"/>
    </xf>
    <xf numFmtId="0" fontId="19" fillId="4" borderId="7" xfId="6" applyNumberFormat="1" applyFont="1" applyFill="1" applyBorder="1" applyAlignment="1">
      <alignment horizontal="center" vertical="center"/>
    </xf>
    <xf numFmtId="0" fontId="19" fillId="4" borderId="5" xfId="6" applyNumberFormat="1" applyFont="1" applyFill="1" applyBorder="1" applyAlignment="1">
      <alignment horizontal="center" vertical="center"/>
    </xf>
    <xf numFmtId="0" fontId="32" fillId="0" borderId="6" xfId="3" applyFont="1" applyBorder="1" applyAlignment="1">
      <alignment horizontal="center" vertical="center"/>
    </xf>
    <xf numFmtId="0" fontId="19" fillId="6" borderId="6" xfId="6" applyFont="1" applyFill="1" applyBorder="1" applyAlignment="1">
      <alignment horizontal="center" vertical="center"/>
    </xf>
    <xf numFmtId="0" fontId="19" fillId="6" borderId="31" xfId="6" applyFont="1" applyFill="1" applyBorder="1" applyAlignment="1">
      <alignment horizontal="center" vertical="center"/>
    </xf>
    <xf numFmtId="0" fontId="19" fillId="10" borderId="6" xfId="6" applyFont="1" applyFill="1" applyBorder="1" applyAlignment="1">
      <alignment horizontal="center" vertical="center"/>
    </xf>
    <xf numFmtId="0" fontId="19" fillId="10" borderId="31" xfId="6" applyFont="1" applyFill="1" applyBorder="1" applyAlignment="1">
      <alignment horizontal="center" vertical="center"/>
    </xf>
    <xf numFmtId="0" fontId="24" fillId="7" borderId="6" xfId="3" applyFont="1" applyFill="1" applyBorder="1" applyAlignment="1">
      <alignment horizontal="center" vertical="center"/>
    </xf>
    <xf numFmtId="0" fontId="24" fillId="7" borderId="5" xfId="3" applyFont="1" applyFill="1" applyBorder="1" applyAlignment="1">
      <alignment horizontal="center" vertical="center"/>
    </xf>
    <xf numFmtId="0" fontId="36" fillId="0" borderId="28" xfId="6" applyFont="1" applyBorder="1" applyAlignment="1">
      <alignment horizontal="center" vertical="center"/>
    </xf>
    <xf numFmtId="0" fontId="36" fillId="0" borderId="29" xfId="6" applyFont="1" applyBorder="1" applyAlignment="1">
      <alignment horizontal="center" vertical="center"/>
    </xf>
    <xf numFmtId="185" fontId="36" fillId="6" borderId="33" xfId="3" applyNumberFormat="1" applyFont="1" applyFill="1" applyBorder="1" applyAlignment="1">
      <alignment horizontal="center" vertical="center"/>
    </xf>
    <xf numFmtId="185" fontId="36" fillId="6" borderId="34" xfId="3" applyNumberFormat="1" applyFont="1" applyFill="1" applyBorder="1" applyAlignment="1">
      <alignment horizontal="center" vertical="center"/>
    </xf>
    <xf numFmtId="185" fontId="36" fillId="6" borderId="35" xfId="3" applyNumberFormat="1" applyFont="1" applyFill="1" applyBorder="1" applyAlignment="1">
      <alignment horizontal="center" vertical="center"/>
    </xf>
    <xf numFmtId="185" fontId="36" fillId="6" borderId="33" xfId="6" applyNumberFormat="1" applyFont="1" applyFill="1" applyBorder="1" applyAlignment="1">
      <alignment horizontal="center" vertical="center"/>
    </xf>
    <xf numFmtId="185" fontId="36" fillId="6" borderId="34" xfId="6" applyNumberFormat="1" applyFont="1" applyFill="1" applyBorder="1" applyAlignment="1">
      <alignment horizontal="center" vertical="center"/>
    </xf>
    <xf numFmtId="185" fontId="36" fillId="6" borderId="36" xfId="6" applyNumberFormat="1" applyFont="1" applyFill="1" applyBorder="1" applyAlignment="1">
      <alignment horizontal="center" vertical="center"/>
    </xf>
    <xf numFmtId="0" fontId="35" fillId="0" borderId="4" xfId="3" applyFont="1" applyFill="1" applyBorder="1" applyAlignment="1">
      <alignment horizontal="center" vertical="center"/>
    </xf>
    <xf numFmtId="0" fontId="35" fillId="0" borderId="3" xfId="3" applyFont="1" applyFill="1" applyBorder="1" applyAlignment="1">
      <alignment horizontal="center" vertical="center"/>
    </xf>
    <xf numFmtId="0" fontId="35" fillId="0" borderId="2" xfId="3" applyFont="1" applyFill="1" applyBorder="1" applyAlignment="1">
      <alignment horizontal="center" vertical="center"/>
    </xf>
    <xf numFmtId="0" fontId="32" fillId="0" borderId="4" xfId="6" applyFont="1" applyFill="1" applyBorder="1" applyAlignment="1">
      <alignment horizontal="center" vertical="center"/>
    </xf>
    <xf numFmtId="0" fontId="32" fillId="0" borderId="3" xfId="6" applyFont="1" applyFill="1" applyBorder="1" applyAlignment="1">
      <alignment horizontal="center" vertical="center"/>
    </xf>
    <xf numFmtId="0" fontId="32" fillId="0" borderId="2" xfId="6" applyFont="1" applyFill="1" applyBorder="1" applyAlignment="1">
      <alignment horizontal="center" vertical="center"/>
    </xf>
    <xf numFmtId="0" fontId="32" fillId="0" borderId="4" xfId="0" applyFont="1" applyFill="1" applyBorder="1" applyAlignment="1">
      <alignment horizontal="center" vertical="center"/>
    </xf>
    <xf numFmtId="0" fontId="32" fillId="0" borderId="3" xfId="0" applyFont="1" applyFill="1" applyBorder="1" applyAlignment="1">
      <alignment horizontal="center" vertical="center"/>
    </xf>
    <xf numFmtId="0" fontId="32" fillId="0" borderId="2" xfId="0" applyFont="1" applyFill="1" applyBorder="1" applyAlignment="1">
      <alignment horizontal="center" vertical="center"/>
    </xf>
    <xf numFmtId="0" fontId="32" fillId="7" borderId="6" xfId="6" applyFont="1" applyFill="1" applyBorder="1" applyAlignment="1">
      <alignment horizontal="center" vertical="center" wrapText="1"/>
    </xf>
    <xf numFmtId="0" fontId="32" fillId="7" borderId="5" xfId="6" applyFont="1" applyFill="1" applyBorder="1" applyAlignment="1">
      <alignment horizontal="center" vertical="center" wrapText="1"/>
    </xf>
    <xf numFmtId="0" fontId="37" fillId="8" borderId="0" xfId="8" applyFont="1" applyFill="1" applyBorder="1" applyAlignment="1">
      <alignment horizontal="center" vertical="center"/>
    </xf>
    <xf numFmtId="0" fontId="37" fillId="8" borderId="8" xfId="8" applyFont="1" applyFill="1" applyBorder="1" applyAlignment="1">
      <alignment horizontal="center" vertical="center"/>
    </xf>
    <xf numFmtId="0" fontId="41" fillId="0" borderId="4" xfId="8" applyFont="1" applyFill="1" applyBorder="1" applyAlignment="1">
      <alignment horizontal="center" vertical="center"/>
    </xf>
    <xf numFmtId="0" fontId="41" fillId="0" borderId="2" xfId="8" applyFont="1" applyFill="1" applyBorder="1" applyAlignment="1">
      <alignment horizontal="center" vertical="center"/>
    </xf>
    <xf numFmtId="0" fontId="37" fillId="8" borderId="10" xfId="8" applyFont="1" applyFill="1" applyBorder="1" applyAlignment="1">
      <alignment horizontal="center" vertical="center" wrapText="1"/>
    </xf>
    <xf numFmtId="0" fontId="37" fillId="8" borderId="13" xfId="8" applyFont="1" applyFill="1" applyBorder="1" applyAlignment="1">
      <alignment horizontal="center" vertical="center" wrapText="1"/>
    </xf>
    <xf numFmtId="0" fontId="3" fillId="4" borderId="8" xfId="8" applyFont="1" applyFill="1" applyBorder="1" applyAlignment="1">
      <alignment horizontal="left" vertical="center"/>
    </xf>
    <xf numFmtId="0" fontId="5" fillId="4" borderId="0" xfId="8" applyFont="1" applyFill="1" applyBorder="1" applyAlignment="1">
      <alignment horizontal="left" vertical="center"/>
    </xf>
    <xf numFmtId="0" fontId="34" fillId="7" borderId="1" xfId="8" applyFont="1" applyFill="1" applyBorder="1" applyAlignment="1">
      <alignment horizontal="center" vertical="center" wrapText="1"/>
    </xf>
    <xf numFmtId="0" fontId="34" fillId="7" borderId="1" xfId="8" applyFont="1" applyFill="1" applyBorder="1" applyAlignment="1">
      <alignment horizontal="center" vertical="center"/>
    </xf>
    <xf numFmtId="40" fontId="44" fillId="0" borderId="9" xfId="10" applyNumberFormat="1" applyFont="1" applyBorder="1" applyAlignment="1">
      <alignment horizontal="center" vertical="center"/>
    </xf>
    <xf numFmtId="0" fontId="26" fillId="5" borderId="1" xfId="10" applyFont="1" applyFill="1" applyBorder="1" applyAlignment="1">
      <alignment horizontal="center" vertical="center"/>
    </xf>
    <xf numFmtId="0" fontId="26" fillId="0" borderId="1" xfId="0" applyFont="1" applyBorder="1" applyAlignment="1">
      <alignment horizontal="center" vertical="center" wrapText="1"/>
    </xf>
    <xf numFmtId="40" fontId="26" fillId="0" borderId="1" xfId="9" applyNumberFormat="1" applyFont="1" applyBorder="1" applyAlignment="1">
      <alignment horizontal="center" vertical="center"/>
    </xf>
    <xf numFmtId="40" fontId="26" fillId="0" borderId="1" xfId="10" applyNumberFormat="1" applyFont="1" applyBorder="1" applyAlignment="1">
      <alignment horizontal="center" vertical="center"/>
    </xf>
    <xf numFmtId="0" fontId="26" fillId="5" borderId="4" xfId="1" applyFont="1" applyFill="1" applyBorder="1" applyAlignment="1">
      <alignment horizontal="center" vertical="center"/>
    </xf>
    <xf numFmtId="0" fontId="26" fillId="5" borderId="3" xfId="1" applyFont="1" applyFill="1" applyBorder="1" applyAlignment="1">
      <alignment horizontal="center" vertical="center"/>
    </xf>
    <xf numFmtId="0" fontId="26" fillId="5" borderId="2" xfId="1" applyFont="1" applyFill="1" applyBorder="1" applyAlignment="1">
      <alignment horizontal="center" vertical="center"/>
    </xf>
    <xf numFmtId="0" fontId="26" fillId="5" borderId="10" xfId="1" applyFont="1" applyFill="1" applyBorder="1" applyAlignment="1">
      <alignment horizontal="center" vertical="center"/>
    </xf>
    <xf numFmtId="0" fontId="26" fillId="5" borderId="11" xfId="1" applyFont="1" applyFill="1" applyBorder="1" applyAlignment="1">
      <alignment horizontal="center" vertical="center"/>
    </xf>
    <xf numFmtId="0" fontId="26" fillId="5" borderId="12" xfId="1" applyFont="1" applyFill="1" applyBorder="1" applyAlignment="1">
      <alignment horizontal="center" vertical="center"/>
    </xf>
    <xf numFmtId="0" fontId="26" fillId="5" borderId="13" xfId="1" applyFont="1" applyFill="1" applyBorder="1" applyAlignment="1">
      <alignment horizontal="center" vertical="center"/>
    </xf>
    <xf numFmtId="0" fontId="26" fillId="5" borderId="8" xfId="1" applyFont="1" applyFill="1" applyBorder="1" applyAlignment="1">
      <alignment horizontal="center" vertical="center"/>
    </xf>
    <xf numFmtId="0" fontId="26" fillId="5" borderId="14" xfId="1" applyFont="1" applyFill="1" applyBorder="1" applyAlignment="1">
      <alignment horizontal="center" vertical="center"/>
    </xf>
    <xf numFmtId="0" fontId="26" fillId="5" borderId="6" xfId="1" applyFont="1" applyFill="1" applyBorder="1" applyAlignment="1">
      <alignment horizontal="center" vertical="center"/>
    </xf>
    <xf numFmtId="0" fontId="26" fillId="5" borderId="7" xfId="1" applyFont="1" applyFill="1" applyBorder="1" applyAlignment="1">
      <alignment horizontal="center" vertical="center"/>
    </xf>
    <xf numFmtId="0" fontId="26" fillId="5" borderId="5" xfId="1" applyFont="1" applyFill="1" applyBorder="1" applyAlignment="1">
      <alignment horizontal="center" vertical="center"/>
    </xf>
    <xf numFmtId="0" fontId="26" fillId="4" borderId="22" xfId="1" applyFont="1" applyFill="1" applyBorder="1" applyAlignment="1">
      <alignment horizontal="center" vertical="center"/>
    </xf>
    <xf numFmtId="0" fontId="26" fillId="4" borderId="23" xfId="1" applyFont="1" applyFill="1" applyBorder="1" applyAlignment="1">
      <alignment horizontal="center" vertical="center"/>
    </xf>
    <xf numFmtId="0" fontId="26" fillId="4" borderId="24" xfId="1" applyFont="1" applyFill="1" applyBorder="1" applyAlignment="1">
      <alignment horizontal="center" vertical="center"/>
    </xf>
    <xf numFmtId="0" fontId="26" fillId="0" borderId="9" xfId="0" applyFont="1" applyBorder="1" applyAlignment="1">
      <alignment horizontal="center" vertical="center" wrapText="1"/>
    </xf>
    <xf numFmtId="38" fontId="26" fillId="0" borderId="1" xfId="10" applyNumberFormat="1" applyFont="1" applyBorder="1" applyAlignment="1">
      <alignment horizontal="center" vertical="center"/>
    </xf>
    <xf numFmtId="0" fontId="26" fillId="0" borderId="2" xfId="10" applyFont="1" applyBorder="1" applyAlignment="1">
      <alignment horizontal="center" vertical="center" wrapText="1"/>
    </xf>
    <xf numFmtId="38" fontId="26" fillId="0" borderId="2" xfId="10" applyNumberFormat="1" applyFont="1" applyBorder="1" applyAlignment="1">
      <alignment horizontal="center" vertical="center"/>
    </xf>
    <xf numFmtId="0" fontId="26" fillId="0" borderId="1" xfId="10" applyFont="1" applyBorder="1" applyAlignment="1">
      <alignment horizontal="center" vertical="center" wrapText="1"/>
    </xf>
    <xf numFmtId="184" fontId="26" fillId="0" borderId="1" xfId="10" applyNumberFormat="1" applyFont="1" applyBorder="1" applyAlignment="1">
      <alignment horizontal="center" vertical="center"/>
    </xf>
    <xf numFmtId="0" fontId="26" fillId="5" borderId="6" xfId="1" quotePrefix="1" applyFont="1" applyFill="1" applyBorder="1" applyAlignment="1">
      <alignment horizontal="center" vertical="center"/>
    </xf>
    <xf numFmtId="0" fontId="26" fillId="5" borderId="5" xfId="1" quotePrefix="1" applyFont="1" applyFill="1" applyBorder="1" applyAlignment="1">
      <alignment horizontal="center" vertical="center"/>
    </xf>
    <xf numFmtId="0" fontId="26" fillId="5" borderId="1" xfId="1" quotePrefix="1" applyFont="1" applyFill="1" applyBorder="1" applyAlignment="1">
      <alignment horizontal="center" vertical="center"/>
    </xf>
    <xf numFmtId="0" fontId="26" fillId="5" borderId="6" xfId="1" applyFont="1" applyFill="1" applyBorder="1" applyAlignment="1">
      <alignment horizontal="center" vertical="center" wrapText="1"/>
    </xf>
    <xf numFmtId="0" fontId="26" fillId="5" borderId="5" xfId="1" applyFont="1" applyFill="1" applyBorder="1" applyAlignment="1">
      <alignment horizontal="center" vertical="center" wrapText="1"/>
    </xf>
    <xf numFmtId="183" fontId="26" fillId="4" borderId="39" xfId="10" applyNumberFormat="1" applyFont="1" applyFill="1" applyBorder="1" applyAlignment="1">
      <alignment horizontal="center" vertical="center"/>
    </xf>
    <xf numFmtId="183" fontId="26" fillId="4" borderId="11" xfId="10" applyNumberFormat="1" applyFont="1" applyFill="1" applyBorder="1" applyAlignment="1">
      <alignment horizontal="center" vertical="center"/>
    </xf>
    <xf numFmtId="40" fontId="44" fillId="4" borderId="8" xfId="10" applyNumberFormat="1" applyFont="1" applyFill="1" applyBorder="1" applyAlignment="1">
      <alignment horizontal="center" vertical="center"/>
    </xf>
    <xf numFmtId="40" fontId="44" fillId="4" borderId="14" xfId="10" applyNumberFormat="1" applyFont="1" applyFill="1" applyBorder="1" applyAlignment="1">
      <alignment horizontal="center" vertical="center"/>
    </xf>
    <xf numFmtId="40" fontId="44" fillId="4" borderId="13" xfId="10" applyNumberFormat="1" applyFont="1" applyFill="1" applyBorder="1" applyAlignment="1">
      <alignment horizontal="center" vertical="center"/>
    </xf>
    <xf numFmtId="0" fontId="20" fillId="5" borderId="12" xfId="4" applyFont="1" applyFill="1" applyBorder="1" applyAlignment="1">
      <alignment horizontal="center" vertical="center"/>
    </xf>
    <xf numFmtId="0" fontId="20" fillId="5" borderId="40" xfId="4" applyFont="1" applyFill="1" applyBorder="1" applyAlignment="1">
      <alignment horizontal="center" vertical="center"/>
    </xf>
    <xf numFmtId="0" fontId="34" fillId="7" borderId="1" xfId="4" applyFont="1" applyFill="1" applyBorder="1" applyAlignment="1">
      <alignment horizontal="center" vertical="center"/>
    </xf>
    <xf numFmtId="0" fontId="4" fillId="0" borderId="1" xfId="4" applyFont="1" applyBorder="1" applyAlignment="1">
      <alignment horizontal="center" vertical="center" wrapText="1"/>
    </xf>
    <xf numFmtId="0" fontId="26" fillId="5" borderId="10" xfId="4" applyFont="1" applyFill="1" applyBorder="1" applyAlignment="1">
      <alignment horizontal="center" vertical="center"/>
    </xf>
    <xf numFmtId="0" fontId="26" fillId="5" borderId="11" xfId="4" applyFont="1" applyFill="1" applyBorder="1" applyAlignment="1">
      <alignment horizontal="center" vertical="center"/>
    </xf>
    <xf numFmtId="0" fontId="26" fillId="5" borderId="12" xfId="4" applyFont="1" applyFill="1" applyBorder="1" applyAlignment="1">
      <alignment horizontal="center" vertical="center"/>
    </xf>
    <xf numFmtId="0" fontId="26" fillId="5" borderId="6" xfId="4" applyFont="1" applyFill="1" applyBorder="1" applyAlignment="1">
      <alignment horizontal="center" vertical="center"/>
    </xf>
    <xf numFmtId="0" fontId="26" fillId="5" borderId="7" xfId="4" applyFont="1" applyFill="1" applyBorder="1" applyAlignment="1">
      <alignment horizontal="center" vertical="center"/>
    </xf>
    <xf numFmtId="0" fontId="26" fillId="5" borderId="5" xfId="4" applyFont="1" applyFill="1" applyBorder="1" applyAlignment="1">
      <alignment horizontal="center" vertical="center"/>
    </xf>
    <xf numFmtId="0" fontId="20" fillId="5" borderId="1" xfId="4" applyFont="1" applyFill="1" applyBorder="1" applyAlignment="1">
      <alignment horizontal="center" vertical="center" wrapText="1"/>
    </xf>
    <xf numFmtId="0" fontId="26" fillId="5" borderId="1" xfId="4" applyFont="1" applyFill="1" applyBorder="1" applyAlignment="1">
      <alignment horizontal="center" vertical="center" wrapText="1"/>
    </xf>
    <xf numFmtId="0" fontId="20" fillId="0" borderId="1" xfId="4" applyFont="1" applyBorder="1" applyAlignment="1">
      <alignment horizontal="center" vertical="center" wrapText="1"/>
    </xf>
    <xf numFmtId="0" fontId="20" fillId="0" borderId="1" xfId="4" applyFont="1" applyBorder="1" applyAlignment="1">
      <alignment horizontal="center" vertical="center"/>
    </xf>
    <xf numFmtId="0" fontId="26" fillId="0" borderId="1" xfId="4" applyFont="1" applyFill="1" applyBorder="1" applyAlignment="1">
      <alignment horizontal="center" vertical="center" wrapText="1"/>
    </xf>
    <xf numFmtId="0" fontId="26" fillId="12" borderId="1" xfId="4" applyFont="1" applyFill="1" applyBorder="1" applyAlignment="1">
      <alignment horizontal="center" vertical="center" wrapText="1"/>
    </xf>
    <xf numFmtId="0" fontId="2" fillId="0" borderId="1" xfId="4" applyFont="1" applyBorder="1" applyAlignment="1">
      <alignment horizontal="center" vertical="center"/>
    </xf>
    <xf numFmtId="0" fontId="14" fillId="0" borderId="1" xfId="4" applyBorder="1" applyAlignment="1">
      <alignment horizontal="center" vertical="center"/>
    </xf>
    <xf numFmtId="40" fontId="14" fillId="0" borderId="4" xfId="4" applyNumberFormat="1" applyBorder="1" applyAlignment="1">
      <alignment horizontal="center" vertical="center"/>
    </xf>
    <xf numFmtId="40" fontId="14" fillId="0" borderId="3" xfId="4" applyNumberFormat="1" applyBorder="1" applyAlignment="1">
      <alignment horizontal="center" vertical="center"/>
    </xf>
    <xf numFmtId="40" fontId="14" fillId="0" borderId="2" xfId="4" applyNumberFormat="1" applyBorder="1" applyAlignment="1">
      <alignment horizontal="center" vertical="center"/>
    </xf>
    <xf numFmtId="2" fontId="14" fillId="0" borderId="4" xfId="4" applyNumberFormat="1" applyBorder="1" applyAlignment="1">
      <alignment horizontal="center" vertical="center"/>
    </xf>
    <xf numFmtId="2" fontId="14" fillId="0" borderId="3" xfId="4" applyNumberFormat="1" applyBorder="1" applyAlignment="1">
      <alignment horizontal="center" vertical="center"/>
    </xf>
    <xf numFmtId="2" fontId="14" fillId="0" borderId="2" xfId="4" applyNumberFormat="1" applyBorder="1" applyAlignment="1">
      <alignment horizontal="center" vertical="center"/>
    </xf>
    <xf numFmtId="0" fontId="8" fillId="0" borderId="4" xfId="4" applyFont="1" applyBorder="1" applyAlignment="1">
      <alignment horizontal="center" vertical="center"/>
    </xf>
    <xf numFmtId="0" fontId="8" fillId="0" borderId="3" xfId="4" applyFont="1" applyBorder="1" applyAlignment="1">
      <alignment horizontal="center" vertical="center"/>
    </xf>
    <xf numFmtId="0" fontId="8" fillId="0" borderId="2" xfId="4" applyFont="1" applyBorder="1" applyAlignment="1">
      <alignment horizontal="center" vertical="center"/>
    </xf>
    <xf numFmtId="0" fontId="8" fillId="0" borderId="1" xfId="4" applyFont="1" applyBorder="1" applyAlignment="1">
      <alignment horizontal="center" vertical="center"/>
    </xf>
    <xf numFmtId="0" fontId="20" fillId="0" borderId="0" xfId="4" applyFont="1" applyAlignment="1">
      <alignment horizontal="center" vertical="center"/>
    </xf>
    <xf numFmtId="185" fontId="20" fillId="0" borderId="4" xfId="4" applyNumberFormat="1" applyFont="1" applyBorder="1" applyAlignment="1">
      <alignment horizontal="center" vertical="center"/>
    </xf>
    <xf numFmtId="185" fontId="20" fillId="0" borderId="2" xfId="4" applyNumberFormat="1" applyFont="1" applyBorder="1" applyAlignment="1">
      <alignment horizontal="center" vertical="center"/>
    </xf>
    <xf numFmtId="0" fontId="12" fillId="0" borderId="0" xfId="4" applyFont="1" applyAlignment="1">
      <alignment horizontal="center" vertical="center"/>
    </xf>
    <xf numFmtId="0" fontId="14" fillId="0" borderId="0" xfId="4" applyAlignment="1">
      <alignment horizontal="center" vertical="center"/>
    </xf>
    <xf numFmtId="177" fontId="14" fillId="0" borderId="1" xfId="4" applyNumberFormat="1" applyBorder="1" applyAlignment="1">
      <alignment horizontal="center" vertical="center"/>
    </xf>
    <xf numFmtId="177" fontId="20" fillId="0" borderId="4" xfId="4" applyNumberFormat="1" applyFont="1" applyBorder="1" applyAlignment="1">
      <alignment horizontal="center" vertical="center"/>
    </xf>
    <xf numFmtId="177" fontId="20" fillId="0" borderId="3" xfId="4" applyNumberFormat="1" applyFont="1" applyBorder="1" applyAlignment="1">
      <alignment horizontal="center" vertical="center"/>
    </xf>
    <xf numFmtId="177" fontId="20" fillId="0" borderId="2" xfId="4" applyNumberFormat="1" applyFont="1" applyBorder="1" applyAlignment="1">
      <alignment horizontal="center" vertical="center"/>
    </xf>
    <xf numFmtId="0" fontId="33" fillId="0" borderId="0" xfId="4" applyFont="1" applyAlignment="1">
      <alignment horizontal="left" vertical="center"/>
    </xf>
    <xf numFmtId="185" fontId="20" fillId="0" borderId="1" xfId="4" applyNumberFormat="1" applyFont="1" applyBorder="1" applyAlignment="1">
      <alignment horizontal="center" vertical="center"/>
    </xf>
    <xf numFmtId="0" fontId="26" fillId="12" borderId="1" xfId="4" applyFont="1" applyFill="1" applyBorder="1" applyAlignment="1">
      <alignment horizontal="center" vertical="center"/>
    </xf>
    <xf numFmtId="0" fontId="26" fillId="0" borderId="2" xfId="4" applyFont="1" applyFill="1" applyBorder="1" applyAlignment="1">
      <alignment horizontal="center" vertical="center"/>
    </xf>
    <xf numFmtId="0" fontId="26" fillId="0" borderId="1" xfId="4" applyFont="1" applyFill="1" applyBorder="1" applyAlignment="1">
      <alignment horizontal="center" vertical="center"/>
    </xf>
  </cellXfs>
  <cellStyles count="12">
    <cellStyle name="桁区切り" xfId="9" builtinId="6"/>
    <cellStyle name="桁区切り 2" xfId="2" xr:uid="{00000000-0005-0000-0000-000000000000}"/>
    <cellStyle name="桁区切り 3" xfId="5" xr:uid="{00000000-0005-0000-0000-000001000000}"/>
    <cellStyle name="標準" xfId="0" builtinId="0"/>
    <cellStyle name="標準 2" xfId="1" xr:uid="{00000000-0005-0000-0000-000003000000}"/>
    <cellStyle name="標準 2 2" xfId="6" xr:uid="{00000000-0005-0000-0000-000004000000}"/>
    <cellStyle name="標準 3" xfId="3" xr:uid="{00000000-0005-0000-0000-000005000000}"/>
    <cellStyle name="標準 3 2" xfId="10" xr:uid="{EA2E615E-4AA4-4DE0-A977-E97508663EF4}"/>
    <cellStyle name="標準 3 3" xfId="11" xr:uid="{4D646A1A-6052-43A9-AF55-83DF835AB372}"/>
    <cellStyle name="標準 4" xfId="4" xr:uid="{00000000-0005-0000-0000-000006000000}"/>
    <cellStyle name="標準 5" xfId="7" xr:uid="{363A93C4-6625-47A4-82CF-CAA23EA9B3C5}"/>
    <cellStyle name="標準 6" xfId="8" xr:uid="{ABE7DA43-BA70-4101-9239-D9AF437271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Z226"/>
  <sheetViews>
    <sheetView showGridLines="0" topLeftCell="A25" zoomScale="160" zoomScaleNormal="160" workbookViewId="0">
      <selection activeCell="J222" sqref="J222"/>
    </sheetView>
  </sheetViews>
  <sheetFormatPr defaultColWidth="9" defaultRowHeight="10.8"/>
  <cols>
    <col min="1" max="1" width="2.59765625" style="8" customWidth="1"/>
    <col min="2" max="2" width="7.69921875" style="8" customWidth="1"/>
    <col min="3" max="3" width="15.19921875" style="8" customWidth="1"/>
    <col min="4" max="4" width="4.5" style="8" customWidth="1"/>
    <col min="5" max="5" width="9.3984375" style="8" customWidth="1"/>
    <col min="6" max="6" width="8" style="8" bestFit="1" customWidth="1"/>
    <col min="7" max="7" width="7.69921875" style="8" bestFit="1" customWidth="1"/>
    <col min="8" max="8" width="9.5" style="8" bestFit="1" customWidth="1"/>
    <col min="9" max="9" width="10.69921875" style="8" bestFit="1" customWidth="1"/>
    <col min="10" max="10" width="11.19921875" style="8" bestFit="1" customWidth="1"/>
    <col min="11" max="11" width="10.69921875" style="8" bestFit="1" customWidth="1"/>
    <col min="12" max="12" width="10.59765625" style="8" bestFit="1" customWidth="1"/>
    <col min="13" max="13" width="10.09765625" style="8" bestFit="1" customWidth="1"/>
    <col min="14" max="14" width="10.19921875" style="8" bestFit="1" customWidth="1"/>
    <col min="15" max="15" width="11.19921875" style="8" customWidth="1"/>
    <col min="16" max="16" width="9.5" style="8" customWidth="1"/>
    <col min="17" max="17" width="9.19921875" style="8" bestFit="1" customWidth="1"/>
    <col min="18" max="18" width="7.8984375" style="8" bestFit="1" customWidth="1"/>
    <col min="19" max="19" width="6.19921875" style="8" bestFit="1" customWidth="1"/>
    <col min="20" max="20" width="7.59765625" style="8" bestFit="1" customWidth="1"/>
    <col min="21" max="22" width="10.09765625" style="8" bestFit="1" customWidth="1"/>
    <col min="23" max="23" width="10.59765625" style="8" bestFit="1" customWidth="1"/>
    <col min="24" max="24" width="10.19921875" style="8" customWidth="1"/>
    <col min="25" max="25" width="5.19921875" style="8" bestFit="1" customWidth="1"/>
    <col min="26" max="26" width="10.59765625" style="8" bestFit="1" customWidth="1"/>
    <col min="27" max="27" width="10.19921875" style="8" customWidth="1"/>
    <col min="28" max="28" width="10.19921875" style="8" bestFit="1" customWidth="1"/>
    <col min="29" max="37" width="4.5" style="8" customWidth="1"/>
    <col min="38" max="38" width="4.8984375" style="8" customWidth="1"/>
    <col min="39" max="39" width="8.69921875" style="8" bestFit="1" customWidth="1"/>
    <col min="40" max="40" width="18.09765625" style="8" customWidth="1"/>
    <col min="41" max="41" width="8.69921875" style="8" customWidth="1"/>
    <col min="42" max="47" width="4.5" style="8" customWidth="1"/>
    <col min="48" max="48" width="7.19921875" style="8" bestFit="1" customWidth="1"/>
    <col min="49" max="49" width="8.69921875" style="8" bestFit="1" customWidth="1"/>
    <col min="50" max="50" width="17.69921875" style="8" bestFit="1" customWidth="1"/>
    <col min="51" max="51" width="8.69921875" style="8" bestFit="1" customWidth="1"/>
    <col min="52" max="52" width="4.5" style="8" customWidth="1"/>
    <col min="53" max="16384" width="9" style="8"/>
  </cols>
  <sheetData>
    <row r="1" spans="2:52">
      <c r="B1" s="8" t="s">
        <v>37</v>
      </c>
    </row>
    <row r="2" spans="2:52">
      <c r="AV2" s="9"/>
      <c r="AW2" s="9"/>
      <c r="AX2" s="9"/>
      <c r="AY2" s="9"/>
      <c r="AZ2" s="9"/>
    </row>
    <row r="3" spans="2:52">
      <c r="B3" s="333" t="s">
        <v>36</v>
      </c>
      <c r="C3" s="36" t="s">
        <v>35</v>
      </c>
      <c r="D3" s="334" t="s">
        <v>170</v>
      </c>
      <c r="E3" s="330"/>
      <c r="F3" s="330"/>
      <c r="G3" s="331"/>
      <c r="H3" s="330" t="s">
        <v>169</v>
      </c>
      <c r="I3" s="330"/>
      <c r="J3" s="330"/>
      <c r="K3" s="330"/>
      <c r="L3" s="331"/>
      <c r="M3" s="330" t="s">
        <v>168</v>
      </c>
      <c r="N3" s="330"/>
      <c r="O3" s="330"/>
      <c r="P3" s="330"/>
      <c r="Q3" s="331"/>
      <c r="R3" s="330" t="s">
        <v>167</v>
      </c>
      <c r="S3" s="330"/>
      <c r="T3" s="330"/>
      <c r="U3" s="330"/>
      <c r="V3" s="331"/>
      <c r="W3" s="330" t="s">
        <v>166</v>
      </c>
      <c r="X3" s="330"/>
      <c r="Y3" s="330"/>
      <c r="Z3" s="331"/>
      <c r="AA3" s="330" t="s">
        <v>171</v>
      </c>
      <c r="AB3" s="330"/>
      <c r="AC3" s="330"/>
      <c r="AD3" s="330"/>
      <c r="AE3" s="331"/>
      <c r="AF3" s="330" t="s">
        <v>173</v>
      </c>
      <c r="AG3" s="330"/>
      <c r="AH3" s="330"/>
      <c r="AI3" s="330"/>
      <c r="AJ3" s="332"/>
      <c r="AK3" s="40"/>
      <c r="AL3" s="328" t="s">
        <v>34</v>
      </c>
      <c r="AM3" s="328" t="s">
        <v>33</v>
      </c>
      <c r="AN3" s="335" t="s">
        <v>32</v>
      </c>
      <c r="AO3" s="328" t="s">
        <v>31</v>
      </c>
    </row>
    <row r="4" spans="2:52" ht="12" customHeight="1">
      <c r="B4" s="333"/>
      <c r="C4" s="36" t="s">
        <v>30</v>
      </c>
      <c r="D4" s="11" t="s">
        <v>143</v>
      </c>
      <c r="E4" s="39" t="s">
        <v>174</v>
      </c>
      <c r="F4" s="11" t="s">
        <v>162</v>
      </c>
      <c r="G4" s="200" t="s">
        <v>163</v>
      </c>
      <c r="H4" s="43" t="s">
        <v>143</v>
      </c>
      <c r="I4" s="39" t="s">
        <v>174</v>
      </c>
      <c r="J4" s="11" t="s">
        <v>162</v>
      </c>
      <c r="K4" s="11" t="s">
        <v>163</v>
      </c>
      <c r="L4" s="45" t="s">
        <v>164</v>
      </c>
      <c r="M4" s="43" t="s">
        <v>143</v>
      </c>
      <c r="N4" s="39" t="s">
        <v>174</v>
      </c>
      <c r="O4" s="11" t="s">
        <v>162</v>
      </c>
      <c r="P4" s="11" t="s">
        <v>163</v>
      </c>
      <c r="Q4" s="45" t="s">
        <v>164</v>
      </c>
      <c r="R4" s="43" t="s">
        <v>143</v>
      </c>
      <c r="S4" s="39" t="s">
        <v>174</v>
      </c>
      <c r="T4" s="11" t="s">
        <v>162</v>
      </c>
      <c r="U4" s="11" t="s">
        <v>163</v>
      </c>
      <c r="V4" s="45" t="s">
        <v>165</v>
      </c>
      <c r="W4" s="43" t="s">
        <v>143</v>
      </c>
      <c r="X4" s="39" t="s">
        <v>174</v>
      </c>
      <c r="Y4" s="11" t="s">
        <v>162</v>
      </c>
      <c r="Z4" s="200" t="s">
        <v>163</v>
      </c>
      <c r="AA4" s="43" t="s">
        <v>143</v>
      </c>
      <c r="AB4" s="39" t="s">
        <v>174</v>
      </c>
      <c r="AC4" s="11" t="s">
        <v>162</v>
      </c>
      <c r="AD4" s="11" t="s">
        <v>163</v>
      </c>
      <c r="AE4" s="51" t="s">
        <v>176</v>
      </c>
      <c r="AF4" s="43" t="s">
        <v>143</v>
      </c>
      <c r="AG4" s="39" t="s">
        <v>174</v>
      </c>
      <c r="AH4" s="11" t="s">
        <v>162</v>
      </c>
      <c r="AI4" s="11" t="s">
        <v>163</v>
      </c>
      <c r="AJ4" s="12" t="s">
        <v>172</v>
      </c>
      <c r="AK4" s="42"/>
      <c r="AL4" s="329"/>
      <c r="AM4" s="329"/>
      <c r="AN4" s="329"/>
      <c r="AO4" s="329"/>
    </row>
    <row r="5" spans="2:52" ht="21.6">
      <c r="B5" s="36" t="s">
        <v>29</v>
      </c>
      <c r="C5" s="36" t="s">
        <v>77</v>
      </c>
      <c r="D5" s="36">
        <v>7.6</v>
      </c>
      <c r="E5" s="36">
        <v>7.7</v>
      </c>
      <c r="F5" s="36">
        <v>7.85</v>
      </c>
      <c r="G5" s="46">
        <v>8.35</v>
      </c>
      <c r="H5" s="44">
        <v>7.75</v>
      </c>
      <c r="I5" s="36">
        <v>7.9</v>
      </c>
      <c r="J5" s="36">
        <v>8.35</v>
      </c>
      <c r="K5" s="36">
        <v>8.9499999999999993</v>
      </c>
      <c r="L5" s="47">
        <v>9.3000000000000007</v>
      </c>
      <c r="M5" s="44">
        <v>12.05</v>
      </c>
      <c r="N5" s="36">
        <v>12.05</v>
      </c>
      <c r="O5" s="36">
        <v>12.45</v>
      </c>
      <c r="P5" s="36">
        <v>12.65</v>
      </c>
      <c r="Q5" s="47">
        <v>12.7</v>
      </c>
      <c r="R5" s="44">
        <v>8.25</v>
      </c>
      <c r="S5" s="36">
        <v>8.4</v>
      </c>
      <c r="T5" s="36">
        <v>8.65</v>
      </c>
      <c r="U5" s="36">
        <v>8.8000000000000007</v>
      </c>
      <c r="V5" s="47">
        <v>8.8000000000000007</v>
      </c>
      <c r="W5" s="44">
        <v>7.9</v>
      </c>
      <c r="X5" s="36">
        <v>8.1</v>
      </c>
      <c r="Y5" s="36">
        <v>8.5500000000000007</v>
      </c>
      <c r="Z5" s="46">
        <v>8.9499999999999993</v>
      </c>
      <c r="AA5" s="8">
        <v>8.4</v>
      </c>
      <c r="AB5" s="44">
        <v>8.35</v>
      </c>
      <c r="AC5" s="36">
        <v>8.8000000000000007</v>
      </c>
      <c r="AD5" s="36">
        <v>9.1999999999999993</v>
      </c>
      <c r="AE5" s="52">
        <v>9.1</v>
      </c>
      <c r="AF5" s="44">
        <v>8.35</v>
      </c>
      <c r="AG5" s="36">
        <v>3.25</v>
      </c>
      <c r="AH5" s="36">
        <v>8.3000000000000007</v>
      </c>
      <c r="AI5" s="36">
        <v>8.6999999999999993</v>
      </c>
      <c r="AJ5" s="36">
        <v>9</v>
      </c>
      <c r="AK5" s="41"/>
      <c r="AL5" s="10">
        <v>1</v>
      </c>
      <c r="AM5" s="10" t="s">
        <v>28</v>
      </c>
      <c r="AN5" s="13" t="s">
        <v>27</v>
      </c>
      <c r="AO5" s="14" t="s">
        <v>26</v>
      </c>
    </row>
    <row r="6" spans="2:52" ht="18" customHeight="1">
      <c r="B6" s="333" t="s">
        <v>40</v>
      </c>
      <c r="C6" s="71" t="s">
        <v>130</v>
      </c>
      <c r="D6" s="36"/>
      <c r="E6" s="36"/>
      <c r="F6" s="36"/>
      <c r="G6" s="46"/>
      <c r="H6" s="44"/>
      <c r="I6" s="36"/>
      <c r="J6" s="36"/>
      <c r="K6" s="36"/>
      <c r="L6" s="47"/>
      <c r="M6" s="44"/>
      <c r="N6" s="36"/>
      <c r="O6" s="36"/>
      <c r="P6" s="36"/>
      <c r="Q6" s="47"/>
      <c r="R6" s="44"/>
      <c r="S6" s="36"/>
      <c r="T6" s="36"/>
      <c r="U6" s="36"/>
      <c r="V6" s="47"/>
      <c r="W6" s="44"/>
      <c r="X6" s="36"/>
      <c r="Y6" s="36"/>
      <c r="Z6" s="46"/>
      <c r="AA6" s="44"/>
      <c r="AB6" s="36">
        <v>1</v>
      </c>
      <c r="AC6" s="36"/>
      <c r="AD6" s="36"/>
      <c r="AE6" s="52"/>
      <c r="AF6" s="44"/>
      <c r="AG6" s="36"/>
      <c r="AH6" s="36"/>
      <c r="AI6" s="36"/>
      <c r="AJ6" s="36"/>
      <c r="AK6" s="41"/>
      <c r="AL6" s="10">
        <v>2</v>
      </c>
      <c r="AM6" s="10" t="s">
        <v>25</v>
      </c>
      <c r="AN6" s="13" t="s">
        <v>24</v>
      </c>
      <c r="AO6" s="10" t="s">
        <v>23</v>
      </c>
    </row>
    <row r="7" spans="2:52" ht="21.6">
      <c r="B7" s="333"/>
      <c r="C7" s="71" t="s">
        <v>131</v>
      </c>
      <c r="D7" s="36">
        <v>1</v>
      </c>
      <c r="E7" s="36"/>
      <c r="F7" s="36">
        <v>1</v>
      </c>
      <c r="G7" s="46">
        <v>1</v>
      </c>
      <c r="H7" s="44"/>
      <c r="I7" s="36"/>
      <c r="J7" s="36"/>
      <c r="K7" s="36"/>
      <c r="L7" s="47"/>
      <c r="M7" s="44"/>
      <c r="N7" s="36"/>
      <c r="O7" s="36"/>
      <c r="P7" s="36"/>
      <c r="Q7" s="47"/>
      <c r="R7" s="44"/>
      <c r="S7" s="36"/>
      <c r="T7" s="36"/>
      <c r="U7" s="36"/>
      <c r="V7" s="47"/>
      <c r="W7" s="44"/>
      <c r="X7" s="36"/>
      <c r="Y7" s="36"/>
      <c r="Z7" s="46"/>
      <c r="AA7" s="44"/>
      <c r="AB7" s="36"/>
      <c r="AC7" s="36"/>
      <c r="AD7" s="36"/>
      <c r="AE7" s="54"/>
      <c r="AF7" s="56"/>
      <c r="AG7" s="36"/>
      <c r="AH7" s="36"/>
      <c r="AI7" s="36"/>
      <c r="AJ7" s="36"/>
      <c r="AK7" s="41"/>
      <c r="AL7" s="10">
        <v>3</v>
      </c>
      <c r="AM7" s="10" t="s">
        <v>22</v>
      </c>
      <c r="AN7" s="13" t="s">
        <v>21</v>
      </c>
      <c r="AO7" s="10" t="s">
        <v>20</v>
      </c>
    </row>
    <row r="8" spans="2:52" ht="21.6">
      <c r="B8" s="333"/>
      <c r="C8" s="71" t="s">
        <v>79</v>
      </c>
      <c r="D8" s="36">
        <v>1</v>
      </c>
      <c r="E8" s="36">
        <v>1</v>
      </c>
      <c r="F8" s="36"/>
      <c r="G8" s="46"/>
      <c r="H8" s="44"/>
      <c r="I8" s="36">
        <v>1</v>
      </c>
      <c r="J8" s="36">
        <v>1</v>
      </c>
      <c r="K8" s="36"/>
      <c r="L8" s="47"/>
      <c r="M8" s="44">
        <v>1</v>
      </c>
      <c r="N8" s="36">
        <v>1</v>
      </c>
      <c r="O8" s="36"/>
      <c r="P8" s="36"/>
      <c r="Q8" s="47"/>
      <c r="R8" s="44"/>
      <c r="S8" s="36"/>
      <c r="T8" s="36"/>
      <c r="U8" s="36"/>
      <c r="V8" s="47"/>
      <c r="W8" s="44"/>
      <c r="X8" s="36">
        <v>1</v>
      </c>
      <c r="Y8" s="36">
        <v>1</v>
      </c>
      <c r="Z8" s="46"/>
      <c r="AA8" s="44">
        <v>1</v>
      </c>
      <c r="AB8" s="36"/>
      <c r="AC8" s="36"/>
      <c r="AD8" s="36"/>
      <c r="AE8" s="52"/>
      <c r="AF8" s="44"/>
      <c r="AG8" s="36"/>
      <c r="AH8" s="36">
        <v>1</v>
      </c>
      <c r="AI8" s="36"/>
      <c r="AJ8" s="36"/>
      <c r="AK8" s="41"/>
      <c r="AL8" s="10">
        <v>4</v>
      </c>
      <c r="AM8" s="10" t="s">
        <v>19</v>
      </c>
      <c r="AN8" s="13" t="s">
        <v>18</v>
      </c>
      <c r="AO8" s="10" t="s">
        <v>17</v>
      </c>
    </row>
    <row r="9" spans="2:52" ht="21.6">
      <c r="B9" s="333"/>
      <c r="C9" s="71" t="s">
        <v>132</v>
      </c>
      <c r="D9" s="36"/>
      <c r="E9" s="36"/>
      <c r="F9" s="36"/>
      <c r="G9" s="46"/>
      <c r="H9" s="44">
        <v>1</v>
      </c>
      <c r="I9" s="36"/>
      <c r="J9" s="36"/>
      <c r="K9" s="36">
        <v>1</v>
      </c>
      <c r="L9" s="55">
        <v>1</v>
      </c>
      <c r="M9" s="44"/>
      <c r="N9" s="36">
        <v>1</v>
      </c>
      <c r="O9" s="36"/>
      <c r="P9" s="36">
        <v>1</v>
      </c>
      <c r="Q9" s="47"/>
      <c r="R9" s="44"/>
      <c r="S9" s="36"/>
      <c r="T9" s="36"/>
      <c r="U9" s="36"/>
      <c r="V9" s="47"/>
      <c r="W9" s="44"/>
      <c r="X9" s="36"/>
      <c r="Y9" s="36"/>
      <c r="Z9" s="46"/>
      <c r="AA9" s="44"/>
      <c r="AB9" s="36"/>
      <c r="AC9" s="36"/>
      <c r="AD9" s="36"/>
      <c r="AE9" s="52"/>
      <c r="AF9" s="44"/>
      <c r="AG9" s="36"/>
      <c r="AH9" s="36"/>
      <c r="AI9" s="36"/>
      <c r="AJ9" s="36"/>
      <c r="AK9" s="41"/>
      <c r="AL9" s="10">
        <v>5</v>
      </c>
      <c r="AM9" s="10" t="s">
        <v>16</v>
      </c>
      <c r="AN9" s="13" t="s">
        <v>15</v>
      </c>
      <c r="AO9" s="10" t="s">
        <v>14</v>
      </c>
    </row>
    <row r="10" spans="2:52" ht="12">
      <c r="B10" s="333"/>
      <c r="C10" s="71" t="s">
        <v>133</v>
      </c>
      <c r="D10" s="36"/>
      <c r="E10" s="36"/>
      <c r="F10" s="36"/>
      <c r="G10" s="46"/>
      <c r="H10" s="44"/>
      <c r="I10" s="36"/>
      <c r="J10" s="36"/>
      <c r="K10" s="36"/>
      <c r="L10" s="47"/>
      <c r="M10" s="44"/>
      <c r="N10" s="36"/>
      <c r="O10" s="36"/>
      <c r="P10" s="36"/>
      <c r="Q10" s="55">
        <v>1</v>
      </c>
      <c r="R10" s="44"/>
      <c r="S10" s="36"/>
      <c r="T10" s="36"/>
      <c r="U10" s="36"/>
      <c r="V10" s="47"/>
      <c r="W10" s="44"/>
      <c r="X10" s="36"/>
      <c r="Y10" s="36"/>
      <c r="Z10" s="46"/>
      <c r="AA10" s="44"/>
      <c r="AB10" s="36"/>
      <c r="AC10" s="36"/>
      <c r="AD10" s="36"/>
      <c r="AE10" s="52"/>
      <c r="AF10" s="44">
        <v>1</v>
      </c>
      <c r="AG10" s="36"/>
      <c r="AH10" s="36"/>
      <c r="AI10" s="36"/>
      <c r="AJ10" s="36"/>
      <c r="AK10" s="41"/>
      <c r="AL10" s="220"/>
      <c r="AM10" s="220"/>
      <c r="AN10" s="220"/>
    </row>
    <row r="11" spans="2:52" ht="12">
      <c r="B11" s="333"/>
      <c r="C11" s="71" t="s">
        <v>134</v>
      </c>
      <c r="D11" s="36"/>
      <c r="E11" s="36"/>
      <c r="F11" s="36"/>
      <c r="G11" s="46"/>
      <c r="H11" s="44"/>
      <c r="I11" s="36"/>
      <c r="J11" s="36"/>
      <c r="K11" s="36"/>
      <c r="L11" s="46">
        <v>1</v>
      </c>
      <c r="M11" s="44">
        <v>1</v>
      </c>
      <c r="N11" s="36">
        <v>1</v>
      </c>
      <c r="O11" s="36">
        <v>1</v>
      </c>
      <c r="P11" s="36">
        <v>1</v>
      </c>
      <c r="Q11" s="46">
        <v>1</v>
      </c>
      <c r="R11" s="44">
        <v>1</v>
      </c>
      <c r="S11" s="36">
        <v>1</v>
      </c>
      <c r="T11" s="36">
        <v>1</v>
      </c>
      <c r="U11" s="36">
        <v>1</v>
      </c>
      <c r="V11" s="46">
        <v>1</v>
      </c>
      <c r="W11" s="44">
        <v>1</v>
      </c>
      <c r="X11" s="36">
        <v>1</v>
      </c>
      <c r="Y11" s="36">
        <v>1</v>
      </c>
      <c r="Z11" s="46">
        <v>1</v>
      </c>
      <c r="AA11" s="44">
        <v>1</v>
      </c>
      <c r="AB11" s="36">
        <v>1</v>
      </c>
      <c r="AC11" s="36">
        <v>1</v>
      </c>
      <c r="AD11" s="36">
        <v>1</v>
      </c>
      <c r="AE11" s="52">
        <v>1</v>
      </c>
      <c r="AF11" s="44">
        <v>1</v>
      </c>
      <c r="AG11" s="36"/>
      <c r="AH11" s="36"/>
      <c r="AI11" s="36"/>
      <c r="AJ11" s="36"/>
      <c r="AK11" s="41"/>
      <c r="AL11" s="220"/>
      <c r="AM11" s="220"/>
      <c r="AN11" s="220"/>
    </row>
    <row r="12" spans="2:52" ht="12">
      <c r="B12" s="333" t="s">
        <v>39</v>
      </c>
      <c r="C12" s="71" t="s">
        <v>84</v>
      </c>
      <c r="D12" s="36">
        <v>1</v>
      </c>
      <c r="E12" s="36">
        <v>2</v>
      </c>
      <c r="F12" s="36">
        <v>1</v>
      </c>
      <c r="G12" s="46">
        <v>1</v>
      </c>
      <c r="H12" s="44">
        <v>1</v>
      </c>
      <c r="I12" s="36">
        <v>1</v>
      </c>
      <c r="J12" s="36">
        <v>1</v>
      </c>
      <c r="K12" s="36">
        <v>1</v>
      </c>
      <c r="L12" s="46">
        <v>1</v>
      </c>
      <c r="M12" s="44"/>
      <c r="N12" s="36"/>
      <c r="O12" s="36"/>
      <c r="P12" s="36"/>
      <c r="Q12" s="46"/>
      <c r="R12" s="44">
        <v>1</v>
      </c>
      <c r="S12" s="36"/>
      <c r="T12" s="36"/>
      <c r="U12" s="36"/>
      <c r="V12" s="46"/>
      <c r="W12" s="44">
        <v>1</v>
      </c>
      <c r="X12" s="36"/>
      <c r="Y12" s="36"/>
      <c r="Z12" s="46">
        <v>1</v>
      </c>
      <c r="AA12" s="44">
        <v>1</v>
      </c>
      <c r="AB12" s="36"/>
      <c r="AC12" s="36"/>
      <c r="AD12" s="36"/>
      <c r="AE12" s="52"/>
      <c r="AF12" s="44"/>
      <c r="AG12" s="36"/>
      <c r="AH12" s="36"/>
      <c r="AI12" s="36"/>
      <c r="AJ12" s="36"/>
      <c r="AK12" s="41"/>
      <c r="AL12" s="220"/>
      <c r="AM12" s="220"/>
      <c r="AN12" s="220"/>
    </row>
    <row r="13" spans="2:52" ht="12">
      <c r="B13" s="333"/>
      <c r="C13" s="71" t="s">
        <v>135</v>
      </c>
      <c r="D13" s="36"/>
      <c r="E13" s="36"/>
      <c r="F13" s="36">
        <v>1</v>
      </c>
      <c r="G13" s="46"/>
      <c r="H13" s="44"/>
      <c r="I13" s="36"/>
      <c r="J13" s="36"/>
      <c r="K13" s="36"/>
      <c r="L13" s="46"/>
      <c r="M13" s="44"/>
      <c r="N13" s="36"/>
      <c r="O13" s="36"/>
      <c r="P13" s="36"/>
      <c r="Q13" s="46"/>
      <c r="R13" s="44"/>
      <c r="S13" s="36"/>
      <c r="T13" s="36">
        <v>1</v>
      </c>
      <c r="U13" s="36">
        <v>1</v>
      </c>
      <c r="V13" s="46"/>
      <c r="W13" s="44"/>
      <c r="X13" s="36"/>
      <c r="Y13" s="36"/>
      <c r="Z13" s="46"/>
      <c r="AA13" s="44">
        <v>1</v>
      </c>
      <c r="AB13" s="36">
        <v>1</v>
      </c>
      <c r="AC13" s="36">
        <v>1</v>
      </c>
      <c r="AD13" s="36">
        <v>1</v>
      </c>
      <c r="AE13" s="52"/>
      <c r="AF13" s="44"/>
      <c r="AG13" s="36">
        <v>1</v>
      </c>
      <c r="AH13" s="36">
        <v>1</v>
      </c>
      <c r="AI13" s="36"/>
      <c r="AJ13" s="36"/>
      <c r="AK13" s="41"/>
      <c r="AL13" s="220"/>
      <c r="AM13" s="220"/>
      <c r="AN13" s="220"/>
    </row>
    <row r="14" spans="2:52" ht="12">
      <c r="B14" s="333"/>
      <c r="C14" s="71" t="s">
        <v>86</v>
      </c>
      <c r="D14" s="36">
        <v>1</v>
      </c>
      <c r="E14" s="36">
        <v>1</v>
      </c>
      <c r="F14" s="36">
        <v>1</v>
      </c>
      <c r="G14" s="46">
        <v>1</v>
      </c>
      <c r="H14" s="44">
        <v>1</v>
      </c>
      <c r="I14" s="36">
        <v>2</v>
      </c>
      <c r="J14" s="36">
        <v>1</v>
      </c>
      <c r="K14" s="36">
        <v>1</v>
      </c>
      <c r="L14" s="46">
        <v>1</v>
      </c>
      <c r="M14" s="44"/>
      <c r="N14" s="36"/>
      <c r="O14" s="36"/>
      <c r="P14" s="36"/>
      <c r="Q14" s="46">
        <v>1</v>
      </c>
      <c r="R14" s="44">
        <v>1</v>
      </c>
      <c r="S14" s="36">
        <v>1</v>
      </c>
      <c r="T14" s="36">
        <v>1</v>
      </c>
      <c r="U14" s="36"/>
      <c r="V14" s="46"/>
      <c r="W14" s="44">
        <v>1</v>
      </c>
      <c r="X14" s="36">
        <v>1</v>
      </c>
      <c r="Y14" s="36">
        <v>1</v>
      </c>
      <c r="Z14" s="46">
        <v>1</v>
      </c>
      <c r="AA14" s="44">
        <v>1</v>
      </c>
      <c r="AB14" s="36">
        <v>1</v>
      </c>
      <c r="AC14" s="36">
        <v>1</v>
      </c>
      <c r="AD14" s="36">
        <v>1</v>
      </c>
      <c r="AE14" s="52">
        <v>1</v>
      </c>
      <c r="AF14" s="44">
        <v>2</v>
      </c>
      <c r="AG14" s="36">
        <v>2</v>
      </c>
      <c r="AH14" s="36">
        <v>1</v>
      </c>
      <c r="AI14" s="36">
        <v>1</v>
      </c>
      <c r="AJ14" s="36">
        <v>1</v>
      </c>
      <c r="AK14" s="41"/>
      <c r="AL14" s="220"/>
      <c r="AM14" s="220"/>
      <c r="AN14" s="220"/>
    </row>
    <row r="15" spans="2:52" ht="12">
      <c r="B15" s="333"/>
      <c r="C15" s="71" t="s">
        <v>136</v>
      </c>
      <c r="D15" s="36">
        <v>1</v>
      </c>
      <c r="E15" s="36">
        <v>1</v>
      </c>
      <c r="F15" s="36">
        <v>1</v>
      </c>
      <c r="G15" s="46">
        <v>1</v>
      </c>
      <c r="H15" s="44">
        <v>1</v>
      </c>
      <c r="I15" s="36">
        <v>1</v>
      </c>
      <c r="J15" s="36">
        <v>1</v>
      </c>
      <c r="K15" s="36"/>
      <c r="L15" s="46"/>
      <c r="M15" s="44"/>
      <c r="N15" s="36">
        <v>1</v>
      </c>
      <c r="O15" s="36">
        <v>1</v>
      </c>
      <c r="P15" s="36"/>
      <c r="Q15" s="46"/>
      <c r="R15" s="44">
        <v>1</v>
      </c>
      <c r="S15" s="36">
        <v>1</v>
      </c>
      <c r="T15" s="36">
        <v>1</v>
      </c>
      <c r="U15" s="36">
        <v>1</v>
      </c>
      <c r="V15" s="46"/>
      <c r="W15" s="44">
        <v>1</v>
      </c>
      <c r="X15" s="36"/>
      <c r="Y15" s="36"/>
      <c r="Z15" s="46"/>
      <c r="AA15" s="44">
        <v>1</v>
      </c>
      <c r="AB15" s="36">
        <v>1</v>
      </c>
      <c r="AC15" s="36">
        <v>1</v>
      </c>
      <c r="AD15" s="36">
        <v>1</v>
      </c>
      <c r="AE15" s="52"/>
      <c r="AF15" s="44">
        <v>1</v>
      </c>
      <c r="AG15" s="36">
        <v>1</v>
      </c>
      <c r="AH15" s="36"/>
      <c r="AI15" s="36">
        <v>1</v>
      </c>
      <c r="AJ15" s="36"/>
      <c r="AK15" s="41"/>
      <c r="AL15" s="220"/>
      <c r="AM15" s="220"/>
      <c r="AN15" s="220"/>
    </row>
    <row r="16" spans="2:52" ht="12">
      <c r="B16" s="333"/>
      <c r="C16" s="71" t="s">
        <v>137</v>
      </c>
      <c r="D16" s="36"/>
      <c r="E16" s="36"/>
      <c r="F16" s="36"/>
      <c r="G16" s="46"/>
      <c r="H16" s="44"/>
      <c r="I16" s="36"/>
      <c r="J16" s="36"/>
      <c r="K16" s="36"/>
      <c r="L16" s="46"/>
      <c r="M16" s="44"/>
      <c r="N16" s="36"/>
      <c r="O16" s="36"/>
      <c r="P16" s="36"/>
      <c r="Q16" s="46"/>
      <c r="R16" s="44"/>
      <c r="S16" s="36"/>
      <c r="T16" s="36"/>
      <c r="U16" s="36"/>
      <c r="V16" s="46"/>
      <c r="W16" s="44">
        <v>1</v>
      </c>
      <c r="X16" s="36">
        <v>1</v>
      </c>
      <c r="Y16" s="36">
        <v>1</v>
      </c>
      <c r="Z16" s="46">
        <v>1</v>
      </c>
      <c r="AA16" s="44"/>
      <c r="AB16" s="36">
        <v>1</v>
      </c>
      <c r="AC16" s="36"/>
      <c r="AD16" s="36"/>
      <c r="AE16" s="52"/>
      <c r="AF16" s="44"/>
      <c r="AG16" s="36">
        <v>1</v>
      </c>
      <c r="AH16" s="36">
        <v>1</v>
      </c>
      <c r="AI16" s="36"/>
      <c r="AJ16" s="36"/>
      <c r="AK16" s="41"/>
    </row>
    <row r="17" spans="2:39" ht="12">
      <c r="B17" s="333"/>
      <c r="C17" s="71" t="s">
        <v>138</v>
      </c>
      <c r="D17" s="36"/>
      <c r="E17" s="36"/>
      <c r="F17" s="36"/>
      <c r="G17" s="46"/>
      <c r="H17" s="44"/>
      <c r="I17" s="36"/>
      <c r="J17" s="36"/>
      <c r="K17" s="36"/>
      <c r="L17" s="46"/>
      <c r="M17" s="44"/>
      <c r="N17" s="36"/>
      <c r="O17" s="36">
        <v>1</v>
      </c>
      <c r="P17" s="36"/>
      <c r="Q17" s="46"/>
      <c r="R17" s="44"/>
      <c r="S17" s="36"/>
      <c r="T17" s="36"/>
      <c r="U17" s="36"/>
      <c r="V17" s="46"/>
      <c r="W17" s="44"/>
      <c r="X17" s="36"/>
      <c r="Y17" s="36"/>
      <c r="Z17" s="46"/>
      <c r="AA17" s="44"/>
      <c r="AB17" s="36"/>
      <c r="AC17" s="36"/>
      <c r="AD17" s="36"/>
      <c r="AE17" s="52"/>
      <c r="AF17" s="44"/>
      <c r="AG17" s="36"/>
      <c r="AH17" s="36"/>
      <c r="AI17" s="36"/>
      <c r="AJ17" s="36"/>
      <c r="AK17" s="41"/>
    </row>
    <row r="18" spans="2:39" ht="12">
      <c r="B18" s="333"/>
      <c r="C18" s="71" t="s">
        <v>95</v>
      </c>
      <c r="D18" s="36">
        <v>1</v>
      </c>
      <c r="E18" s="36">
        <v>1</v>
      </c>
      <c r="F18" s="36">
        <v>1</v>
      </c>
      <c r="G18" s="46">
        <v>1</v>
      </c>
      <c r="H18" s="44"/>
      <c r="I18" s="36"/>
      <c r="J18" s="36"/>
      <c r="K18" s="36"/>
      <c r="L18" s="46"/>
      <c r="M18" s="44"/>
      <c r="N18" s="36"/>
      <c r="O18" s="36"/>
      <c r="P18" s="36"/>
      <c r="Q18" s="46"/>
      <c r="R18" s="44"/>
      <c r="S18" s="36"/>
      <c r="T18" s="36"/>
      <c r="U18" s="36"/>
      <c r="V18" s="46"/>
      <c r="W18" s="44"/>
      <c r="X18" s="36"/>
      <c r="Y18" s="36"/>
      <c r="Z18" s="46"/>
      <c r="AA18" s="44"/>
      <c r="AB18" s="36"/>
      <c r="AC18" s="36"/>
      <c r="AD18" s="36"/>
      <c r="AE18" s="52">
        <v>1</v>
      </c>
      <c r="AF18" s="44"/>
      <c r="AG18" s="36"/>
      <c r="AH18" s="36"/>
      <c r="AI18" s="36"/>
      <c r="AJ18" s="36"/>
      <c r="AK18" s="41"/>
    </row>
    <row r="19" spans="2:39" ht="11.25" customHeight="1">
      <c r="B19" s="333"/>
      <c r="C19" s="71" t="s">
        <v>92</v>
      </c>
      <c r="D19" s="36">
        <v>1</v>
      </c>
      <c r="E19" s="36"/>
      <c r="F19" s="36">
        <v>1</v>
      </c>
      <c r="G19" s="46">
        <v>1</v>
      </c>
      <c r="H19" s="44">
        <v>1</v>
      </c>
      <c r="I19" s="36">
        <v>1</v>
      </c>
      <c r="J19" s="36">
        <v>1</v>
      </c>
      <c r="K19" s="36">
        <v>1</v>
      </c>
      <c r="L19" s="46">
        <v>1</v>
      </c>
      <c r="M19" s="44">
        <v>1</v>
      </c>
      <c r="N19" s="36">
        <v>1</v>
      </c>
      <c r="O19" s="36">
        <v>1</v>
      </c>
      <c r="P19" s="36">
        <v>1</v>
      </c>
      <c r="Q19" s="46">
        <v>1</v>
      </c>
      <c r="R19" s="44"/>
      <c r="S19" s="36"/>
      <c r="T19" s="36"/>
      <c r="U19" s="36"/>
      <c r="V19" s="46"/>
      <c r="W19" s="44"/>
      <c r="X19" s="36"/>
      <c r="Y19" s="36"/>
      <c r="Z19" s="46"/>
      <c r="AA19" s="44">
        <v>1</v>
      </c>
      <c r="AB19" s="36"/>
      <c r="AC19" s="36">
        <v>1</v>
      </c>
      <c r="AD19" s="36"/>
      <c r="AE19" s="52">
        <v>1</v>
      </c>
      <c r="AF19" s="44">
        <v>1</v>
      </c>
      <c r="AG19" s="36">
        <v>1</v>
      </c>
      <c r="AH19" s="36">
        <v>1</v>
      </c>
      <c r="AI19" s="36">
        <v>1</v>
      </c>
      <c r="AJ19" s="36">
        <v>1</v>
      </c>
      <c r="AK19" s="41"/>
      <c r="AL19" s="2" t="s">
        <v>41</v>
      </c>
      <c r="AM19" s="2" t="s">
        <v>42</v>
      </c>
    </row>
    <row r="20" spans="2:39" ht="15">
      <c r="B20" s="333"/>
      <c r="C20" s="71" t="s">
        <v>89</v>
      </c>
      <c r="D20" s="36">
        <v>1</v>
      </c>
      <c r="E20" s="36"/>
      <c r="F20" s="36">
        <v>1</v>
      </c>
      <c r="G20" s="46">
        <v>1</v>
      </c>
      <c r="H20" s="44"/>
      <c r="I20" s="36"/>
      <c r="J20" s="36"/>
      <c r="K20" s="36"/>
      <c r="L20" s="46">
        <v>1</v>
      </c>
      <c r="M20" s="44"/>
      <c r="N20" s="36"/>
      <c r="O20" s="36"/>
      <c r="P20" s="36"/>
      <c r="Q20" s="52"/>
      <c r="R20" s="199">
        <v>5</v>
      </c>
      <c r="S20" s="197">
        <v>5</v>
      </c>
      <c r="T20" s="197">
        <v>5</v>
      </c>
      <c r="U20" s="197">
        <v>5</v>
      </c>
      <c r="V20" s="58">
        <v>5</v>
      </c>
      <c r="W20" s="201">
        <v>5</v>
      </c>
      <c r="X20" s="202">
        <v>5</v>
      </c>
      <c r="Y20" s="202">
        <v>5</v>
      </c>
      <c r="Z20" s="203">
        <v>5</v>
      </c>
      <c r="AA20" s="201">
        <v>4</v>
      </c>
      <c r="AB20" s="202">
        <v>4</v>
      </c>
      <c r="AC20" s="202">
        <v>4</v>
      </c>
      <c r="AD20" s="202">
        <v>4</v>
      </c>
      <c r="AE20" s="59">
        <v>5</v>
      </c>
      <c r="AF20" s="201">
        <v>4</v>
      </c>
      <c r="AG20" s="202">
        <v>4</v>
      </c>
      <c r="AH20" s="202">
        <v>5</v>
      </c>
      <c r="AI20" s="202">
        <v>5</v>
      </c>
      <c r="AJ20" s="57">
        <v>5</v>
      </c>
      <c r="AK20" s="41"/>
      <c r="AL20" s="3">
        <v>5</v>
      </c>
      <c r="AM20" s="4">
        <v>0.875</v>
      </c>
    </row>
    <row r="21" spans="2:39" ht="15">
      <c r="B21" s="333"/>
      <c r="C21" s="71" t="s">
        <v>139</v>
      </c>
      <c r="D21" s="197">
        <v>3</v>
      </c>
      <c r="E21" s="197">
        <v>4</v>
      </c>
      <c r="F21" s="197">
        <v>4</v>
      </c>
      <c r="G21" s="198">
        <v>4</v>
      </c>
      <c r="H21" s="199">
        <v>3</v>
      </c>
      <c r="I21" s="197">
        <v>4</v>
      </c>
      <c r="J21" s="197">
        <v>4</v>
      </c>
      <c r="K21" s="197">
        <v>4</v>
      </c>
      <c r="L21" s="58">
        <v>4</v>
      </c>
      <c r="M21" s="199">
        <v>2</v>
      </c>
      <c r="N21" s="197">
        <v>2</v>
      </c>
      <c r="O21" s="197">
        <v>2</v>
      </c>
      <c r="P21" s="197">
        <v>2</v>
      </c>
      <c r="Q21" s="58">
        <v>2</v>
      </c>
      <c r="R21" s="44">
        <v>1</v>
      </c>
      <c r="S21" s="36">
        <v>1</v>
      </c>
      <c r="T21" s="36">
        <v>1</v>
      </c>
      <c r="U21" s="36">
        <v>1</v>
      </c>
      <c r="V21" s="46"/>
      <c r="W21" s="44">
        <v>1</v>
      </c>
      <c r="X21" s="36">
        <v>1</v>
      </c>
      <c r="Y21" s="36"/>
      <c r="Z21" s="46">
        <v>1</v>
      </c>
      <c r="AA21" s="44">
        <v>1</v>
      </c>
      <c r="AB21" s="36">
        <v>1</v>
      </c>
      <c r="AC21" s="36">
        <v>1</v>
      </c>
      <c r="AD21" s="36"/>
      <c r="AE21" s="52"/>
      <c r="AF21" s="44"/>
      <c r="AG21" s="36">
        <v>1</v>
      </c>
      <c r="AH21" s="36"/>
      <c r="AI21" s="36"/>
      <c r="AJ21" s="36"/>
      <c r="AK21" s="41"/>
      <c r="AL21" s="3">
        <v>4</v>
      </c>
      <c r="AM21" s="4">
        <v>0.625</v>
      </c>
    </row>
    <row r="22" spans="2:39" ht="15">
      <c r="B22" s="333"/>
      <c r="C22" s="71" t="s">
        <v>140</v>
      </c>
      <c r="D22" s="36"/>
      <c r="E22" s="36"/>
      <c r="F22" s="36"/>
      <c r="G22" s="46"/>
      <c r="H22" s="44"/>
      <c r="I22" s="36"/>
      <c r="J22" s="36"/>
      <c r="K22" s="36"/>
      <c r="L22" s="46"/>
      <c r="M22" s="44"/>
      <c r="N22" s="36"/>
      <c r="O22" s="36"/>
      <c r="P22" s="36"/>
      <c r="Q22" s="46"/>
      <c r="R22" s="44"/>
      <c r="S22" s="36"/>
      <c r="T22" s="36"/>
      <c r="U22" s="36"/>
      <c r="V22" s="46"/>
      <c r="W22" s="44"/>
      <c r="X22" s="36"/>
      <c r="Y22" s="36"/>
      <c r="Z22" s="46"/>
      <c r="AA22" s="44"/>
      <c r="AB22" s="36"/>
      <c r="AC22" s="36"/>
      <c r="AD22" s="36"/>
      <c r="AE22" s="52"/>
      <c r="AF22" s="44"/>
      <c r="AG22" s="36"/>
      <c r="AH22" s="36"/>
      <c r="AI22" s="36"/>
      <c r="AJ22" s="36"/>
      <c r="AK22" s="41"/>
      <c r="AL22" s="3">
        <v>3</v>
      </c>
      <c r="AM22" s="4">
        <v>0.375</v>
      </c>
    </row>
    <row r="23" spans="2:39" ht="15">
      <c r="B23" s="333"/>
      <c r="C23" s="71" t="s">
        <v>102</v>
      </c>
      <c r="D23" s="36"/>
      <c r="E23" s="36"/>
      <c r="F23" s="36"/>
      <c r="G23" s="46"/>
      <c r="H23" s="44"/>
      <c r="I23" s="36"/>
      <c r="J23" s="36"/>
      <c r="K23" s="36"/>
      <c r="L23" s="46"/>
      <c r="M23" s="44"/>
      <c r="N23" s="36"/>
      <c r="O23" s="36"/>
      <c r="P23" s="36"/>
      <c r="Q23" s="46"/>
      <c r="R23" s="44">
        <v>1</v>
      </c>
      <c r="S23" s="36">
        <v>1</v>
      </c>
      <c r="T23" s="36">
        <v>1</v>
      </c>
      <c r="U23" s="36">
        <v>1</v>
      </c>
      <c r="V23" s="46"/>
      <c r="W23" s="44">
        <v>1</v>
      </c>
      <c r="X23" s="36">
        <v>1</v>
      </c>
      <c r="Y23" s="36"/>
      <c r="Z23" s="46">
        <v>1</v>
      </c>
      <c r="AA23" s="44">
        <v>1</v>
      </c>
      <c r="AB23" s="36">
        <v>1</v>
      </c>
      <c r="AC23" s="36">
        <v>1</v>
      </c>
      <c r="AD23" s="36">
        <v>1</v>
      </c>
      <c r="AE23" s="52">
        <v>1</v>
      </c>
      <c r="AF23" s="44">
        <v>1</v>
      </c>
      <c r="AG23" s="36">
        <v>1</v>
      </c>
      <c r="AH23" s="36">
        <v>1</v>
      </c>
      <c r="AI23" s="36">
        <v>1</v>
      </c>
      <c r="AJ23" s="36"/>
      <c r="AK23" s="41"/>
      <c r="AL23" s="3">
        <v>2</v>
      </c>
      <c r="AM23" s="4">
        <v>0.15</v>
      </c>
    </row>
    <row r="24" spans="2:39" ht="15">
      <c r="B24" s="333"/>
      <c r="C24" s="71" t="s">
        <v>104</v>
      </c>
      <c r="D24" s="36"/>
      <c r="E24" s="36"/>
      <c r="F24" s="36"/>
      <c r="G24" s="46"/>
      <c r="H24" s="44"/>
      <c r="I24" s="36"/>
      <c r="J24" s="36"/>
      <c r="K24" s="36"/>
      <c r="L24" s="46"/>
      <c r="M24" s="44"/>
      <c r="N24" s="36"/>
      <c r="O24" s="36"/>
      <c r="P24" s="36"/>
      <c r="Q24" s="46"/>
      <c r="R24" s="44"/>
      <c r="S24" s="36"/>
      <c r="T24" s="36">
        <v>1</v>
      </c>
      <c r="U24" s="36"/>
      <c r="V24" s="46"/>
      <c r="W24" s="44">
        <v>1</v>
      </c>
      <c r="X24" s="36">
        <v>1</v>
      </c>
      <c r="Y24" s="36">
        <v>1</v>
      </c>
      <c r="Z24" s="46">
        <v>1</v>
      </c>
      <c r="AA24" s="44">
        <v>1</v>
      </c>
      <c r="AB24" s="36">
        <v>1</v>
      </c>
      <c r="AC24" s="36">
        <v>1</v>
      </c>
      <c r="AD24" s="36">
        <v>1</v>
      </c>
      <c r="AE24" s="52">
        <v>1</v>
      </c>
      <c r="AF24" s="44"/>
      <c r="AG24" s="36">
        <v>1</v>
      </c>
      <c r="AH24" s="36"/>
      <c r="AI24" s="36">
        <v>1</v>
      </c>
      <c r="AJ24" s="36">
        <v>1</v>
      </c>
      <c r="AK24" s="41"/>
      <c r="AL24" s="3">
        <v>1</v>
      </c>
      <c r="AM24" s="4">
        <v>2.5000000000000001E-2</v>
      </c>
    </row>
    <row r="25" spans="2:39" ht="12">
      <c r="B25" s="333"/>
      <c r="C25" s="71" t="s">
        <v>106</v>
      </c>
      <c r="D25" s="36"/>
      <c r="E25" s="36"/>
      <c r="F25" s="36"/>
      <c r="G25" s="46"/>
      <c r="H25" s="44"/>
      <c r="I25" s="36"/>
      <c r="J25" s="36"/>
      <c r="K25" s="36"/>
      <c r="L25" s="46"/>
      <c r="M25" s="44"/>
      <c r="N25" s="36"/>
      <c r="O25" s="36"/>
      <c r="P25" s="36"/>
      <c r="Q25" s="46"/>
      <c r="R25" s="44"/>
      <c r="S25" s="36"/>
      <c r="T25" s="36"/>
      <c r="U25" s="36"/>
      <c r="V25" s="46"/>
      <c r="W25" s="44"/>
      <c r="X25" s="36"/>
      <c r="Y25" s="36"/>
      <c r="Z25" s="46"/>
      <c r="AA25" s="44">
        <v>1</v>
      </c>
      <c r="AB25" s="36">
        <v>1</v>
      </c>
      <c r="AC25" s="36"/>
      <c r="AD25" s="36"/>
      <c r="AE25" s="52"/>
      <c r="AF25" s="44"/>
      <c r="AG25" s="36">
        <v>1</v>
      </c>
      <c r="AH25" s="36"/>
      <c r="AI25" s="36">
        <v>1</v>
      </c>
      <c r="AJ25" s="36">
        <v>1</v>
      </c>
      <c r="AK25" s="41"/>
    </row>
    <row r="26" spans="2:39" ht="12">
      <c r="B26" s="333"/>
      <c r="C26" s="71" t="s">
        <v>108</v>
      </c>
      <c r="D26" s="36"/>
      <c r="E26" s="36"/>
      <c r="F26" s="36"/>
      <c r="G26" s="46"/>
      <c r="H26" s="44"/>
      <c r="I26" s="36"/>
      <c r="J26" s="36"/>
      <c r="K26" s="36"/>
      <c r="L26" s="46"/>
      <c r="M26" s="44"/>
      <c r="N26" s="36"/>
      <c r="O26" s="36"/>
      <c r="P26" s="36"/>
      <c r="Q26" s="46"/>
      <c r="R26" s="44">
        <v>1</v>
      </c>
      <c r="S26" s="36"/>
      <c r="T26" s="36"/>
      <c r="U26" s="36"/>
      <c r="V26" s="46"/>
      <c r="W26" s="44">
        <v>1</v>
      </c>
      <c r="X26" s="36">
        <v>1</v>
      </c>
      <c r="Y26" s="36">
        <v>1</v>
      </c>
      <c r="Z26" s="46">
        <v>1</v>
      </c>
      <c r="AA26" s="44"/>
      <c r="AB26" s="36">
        <v>1</v>
      </c>
      <c r="AC26" s="36"/>
      <c r="AD26" s="36"/>
      <c r="AE26" s="52"/>
      <c r="AF26" s="44"/>
      <c r="AG26" s="36">
        <v>1</v>
      </c>
      <c r="AH26" s="36"/>
      <c r="AI26" s="36">
        <v>1</v>
      </c>
      <c r="AJ26" s="36"/>
      <c r="AK26" s="41"/>
    </row>
    <row r="27" spans="2:39" ht="12">
      <c r="B27" s="333"/>
      <c r="C27" s="71" t="s">
        <v>141</v>
      </c>
      <c r="D27" s="36"/>
      <c r="E27" s="36"/>
      <c r="F27" s="36"/>
      <c r="G27" s="46"/>
      <c r="H27" s="44"/>
      <c r="I27" s="36"/>
      <c r="J27" s="36"/>
      <c r="K27" s="36"/>
      <c r="L27" s="46"/>
      <c r="M27" s="44"/>
      <c r="N27" s="36"/>
      <c r="O27" s="36"/>
      <c r="P27" s="36"/>
      <c r="Q27" s="46"/>
      <c r="R27" s="44"/>
      <c r="S27" s="36"/>
      <c r="T27" s="36">
        <v>1</v>
      </c>
      <c r="U27" s="36"/>
      <c r="V27" s="46"/>
      <c r="W27" s="44"/>
      <c r="X27" s="36"/>
      <c r="Y27" s="36"/>
      <c r="Z27" s="46"/>
      <c r="AA27" s="44"/>
      <c r="AB27" s="36">
        <v>1</v>
      </c>
      <c r="AC27" s="36">
        <v>1</v>
      </c>
      <c r="AD27" s="36"/>
      <c r="AE27" s="52"/>
      <c r="AF27" s="44"/>
      <c r="AG27" s="36">
        <v>1</v>
      </c>
      <c r="AH27" s="36"/>
      <c r="AI27" s="36">
        <v>1</v>
      </c>
      <c r="AJ27" s="36"/>
      <c r="AK27" s="41"/>
    </row>
    <row r="28" spans="2:39" ht="12">
      <c r="B28" s="335"/>
      <c r="C28" s="72" t="s">
        <v>142</v>
      </c>
      <c r="D28" s="35"/>
      <c r="E28" s="35"/>
      <c r="F28" s="35"/>
      <c r="G28" s="48"/>
      <c r="H28" s="49"/>
      <c r="I28" s="35"/>
      <c r="J28" s="35"/>
      <c r="K28" s="35"/>
      <c r="L28" s="48"/>
      <c r="M28" s="49"/>
      <c r="N28" s="35"/>
      <c r="O28" s="35"/>
      <c r="P28" s="35"/>
      <c r="Q28" s="48"/>
      <c r="R28" s="49"/>
      <c r="S28" s="35">
        <v>1</v>
      </c>
      <c r="T28" s="35">
        <v>1</v>
      </c>
      <c r="U28" s="35">
        <v>1</v>
      </c>
      <c r="V28" s="48"/>
      <c r="W28" s="49">
        <v>1</v>
      </c>
      <c r="X28" s="35">
        <v>1</v>
      </c>
      <c r="Y28" s="35">
        <v>1</v>
      </c>
      <c r="Z28" s="48">
        <v>1</v>
      </c>
      <c r="AA28" s="49"/>
      <c r="AB28" s="35"/>
      <c r="AC28" s="35"/>
      <c r="AD28" s="35"/>
      <c r="AE28" s="53"/>
      <c r="AF28" s="49"/>
      <c r="AG28" s="35">
        <v>1</v>
      </c>
      <c r="AH28" s="35">
        <v>1</v>
      </c>
      <c r="AI28" s="35"/>
      <c r="AJ28" s="35">
        <v>1</v>
      </c>
      <c r="AK28" s="41"/>
    </row>
    <row r="29" spans="2:39" ht="12">
      <c r="B29" s="333" t="s">
        <v>38</v>
      </c>
      <c r="C29" s="71" t="s">
        <v>144</v>
      </c>
      <c r="D29" s="36"/>
      <c r="E29" s="36"/>
      <c r="F29" s="36"/>
      <c r="G29" s="46"/>
      <c r="H29" s="44"/>
      <c r="I29" s="36"/>
      <c r="J29" s="36"/>
      <c r="K29" s="36"/>
      <c r="L29" s="46"/>
      <c r="M29" s="44"/>
      <c r="N29" s="36"/>
      <c r="O29" s="36"/>
      <c r="P29" s="36"/>
      <c r="Q29" s="46"/>
      <c r="R29" s="44"/>
      <c r="S29" s="36"/>
      <c r="T29" s="36"/>
      <c r="U29" s="36"/>
      <c r="V29" s="46"/>
      <c r="W29" s="44"/>
      <c r="X29" s="36"/>
      <c r="Y29" s="36"/>
      <c r="Z29" s="46"/>
      <c r="AA29" s="44">
        <v>1</v>
      </c>
      <c r="AB29" s="36"/>
      <c r="AC29" s="36"/>
      <c r="AD29" s="36"/>
      <c r="AE29" s="52"/>
      <c r="AF29" s="44">
        <v>1</v>
      </c>
      <c r="AG29" s="36"/>
      <c r="AH29" s="36"/>
      <c r="AI29" s="36"/>
      <c r="AJ29" s="36"/>
      <c r="AK29" s="41"/>
    </row>
    <row r="30" spans="2:39" ht="12">
      <c r="B30" s="333"/>
      <c r="C30" s="71" t="s">
        <v>145</v>
      </c>
      <c r="D30" s="36"/>
      <c r="E30" s="36"/>
      <c r="F30" s="36">
        <v>1</v>
      </c>
      <c r="G30" s="46"/>
      <c r="H30" s="44"/>
      <c r="I30" s="36"/>
      <c r="J30" s="36"/>
      <c r="K30" s="36"/>
      <c r="L30" s="46"/>
      <c r="M30" s="44">
        <v>1</v>
      </c>
      <c r="N30" s="36"/>
      <c r="O30" s="36"/>
      <c r="P30" s="36">
        <v>1</v>
      </c>
      <c r="Q30" s="46">
        <v>1</v>
      </c>
      <c r="R30" s="44">
        <v>1</v>
      </c>
      <c r="S30" s="36"/>
      <c r="T30" s="36"/>
      <c r="U30" s="36"/>
      <c r="V30" s="46"/>
      <c r="W30" s="44"/>
      <c r="X30" s="36"/>
      <c r="Y30" s="36"/>
      <c r="Z30" s="46"/>
      <c r="AA30" s="44">
        <v>1</v>
      </c>
      <c r="AB30" s="36"/>
      <c r="AC30" s="36">
        <v>1</v>
      </c>
      <c r="AD30" s="36"/>
      <c r="AE30" s="52">
        <v>1</v>
      </c>
      <c r="AF30" s="44"/>
      <c r="AG30" s="36">
        <v>1</v>
      </c>
      <c r="AH30" s="36">
        <v>1</v>
      </c>
      <c r="AI30" s="36"/>
      <c r="AJ30" s="36"/>
      <c r="AK30" s="41"/>
    </row>
    <row r="31" spans="2:39" ht="12">
      <c r="B31" s="333"/>
      <c r="C31" s="71" t="s">
        <v>146</v>
      </c>
      <c r="D31" s="36"/>
      <c r="E31" s="36"/>
      <c r="F31" s="36"/>
      <c r="G31" s="46"/>
      <c r="H31" s="44"/>
      <c r="I31" s="36"/>
      <c r="J31" s="36"/>
      <c r="K31" s="36"/>
      <c r="L31" s="46"/>
      <c r="M31" s="44"/>
      <c r="N31" s="36"/>
      <c r="O31" s="36"/>
      <c r="P31" s="36"/>
      <c r="Q31" s="46">
        <v>1</v>
      </c>
      <c r="R31" s="44"/>
      <c r="S31" s="36"/>
      <c r="T31" s="36"/>
      <c r="U31" s="36"/>
      <c r="V31" s="46"/>
      <c r="W31" s="44"/>
      <c r="X31" s="36"/>
      <c r="Y31" s="36"/>
      <c r="Z31" s="46"/>
      <c r="AA31" s="44"/>
      <c r="AB31" s="36"/>
      <c r="AC31" s="36"/>
      <c r="AD31" s="36"/>
      <c r="AE31" s="52"/>
      <c r="AF31" s="44"/>
      <c r="AG31" s="36"/>
      <c r="AH31" s="36"/>
      <c r="AI31" s="36"/>
      <c r="AJ31" s="36"/>
      <c r="AK31" s="41"/>
    </row>
    <row r="32" spans="2:39" ht="12">
      <c r="B32" s="333"/>
      <c r="C32" s="71" t="s">
        <v>147</v>
      </c>
      <c r="D32" s="36"/>
      <c r="E32" s="36"/>
      <c r="F32" s="36"/>
      <c r="G32" s="46"/>
      <c r="H32" s="44"/>
      <c r="I32" s="36">
        <v>1</v>
      </c>
      <c r="J32" s="36">
        <v>1</v>
      </c>
      <c r="K32" s="36"/>
      <c r="L32" s="46"/>
      <c r="M32" s="44"/>
      <c r="N32" s="36"/>
      <c r="O32" s="36"/>
      <c r="P32" s="36"/>
      <c r="Q32" s="46"/>
      <c r="R32" s="44"/>
      <c r="S32" s="36"/>
      <c r="T32" s="36"/>
      <c r="U32" s="36"/>
      <c r="V32" s="46"/>
      <c r="W32" s="44"/>
      <c r="X32" s="36"/>
      <c r="Y32" s="36"/>
      <c r="Z32" s="46"/>
      <c r="AA32" s="44"/>
      <c r="AB32" s="36"/>
      <c r="AC32" s="36"/>
      <c r="AD32" s="36"/>
      <c r="AE32" s="52"/>
      <c r="AF32" s="44"/>
      <c r="AG32" s="36"/>
      <c r="AH32" s="36"/>
      <c r="AI32" s="36"/>
      <c r="AJ32" s="36"/>
      <c r="AK32" s="41"/>
    </row>
    <row r="33" spans="2:37" ht="12">
      <c r="B33" s="333"/>
      <c r="C33" s="71" t="s">
        <v>148</v>
      </c>
      <c r="D33" s="36"/>
      <c r="E33" s="36">
        <v>1</v>
      </c>
      <c r="F33" s="36"/>
      <c r="G33" s="46"/>
      <c r="H33" s="44">
        <v>1</v>
      </c>
      <c r="I33" s="36"/>
      <c r="J33" s="36"/>
      <c r="K33" s="36"/>
      <c r="L33" s="46"/>
      <c r="M33" s="44"/>
      <c r="N33" s="36"/>
      <c r="O33" s="36"/>
      <c r="P33" s="36"/>
      <c r="Q33" s="46"/>
      <c r="R33" s="44">
        <v>1</v>
      </c>
      <c r="S33" s="36">
        <v>1</v>
      </c>
      <c r="T33" s="36">
        <v>1</v>
      </c>
      <c r="U33" s="36">
        <v>1</v>
      </c>
      <c r="V33" s="46">
        <v>1</v>
      </c>
      <c r="W33" s="44">
        <v>1</v>
      </c>
      <c r="X33" s="36">
        <v>1</v>
      </c>
      <c r="Y33" s="36">
        <v>1</v>
      </c>
      <c r="Z33" s="46">
        <v>1</v>
      </c>
      <c r="AA33" s="44">
        <v>1</v>
      </c>
      <c r="AB33" s="36">
        <v>1</v>
      </c>
      <c r="AC33" s="36">
        <v>1</v>
      </c>
      <c r="AD33" s="36">
        <v>1</v>
      </c>
      <c r="AE33" s="52">
        <v>1</v>
      </c>
      <c r="AF33" s="44">
        <v>1</v>
      </c>
      <c r="AG33" s="36">
        <v>1</v>
      </c>
      <c r="AH33" s="36">
        <v>1</v>
      </c>
      <c r="AI33" s="36">
        <v>1</v>
      </c>
      <c r="AJ33" s="36">
        <v>1</v>
      </c>
      <c r="AK33" s="41"/>
    </row>
    <row r="34" spans="2:37" ht="12">
      <c r="B34" s="333"/>
      <c r="C34" s="71" t="s">
        <v>149</v>
      </c>
      <c r="D34" s="36"/>
      <c r="E34" s="36"/>
      <c r="F34" s="36"/>
      <c r="G34" s="46"/>
      <c r="H34" s="44"/>
      <c r="I34" s="36"/>
      <c r="J34" s="36"/>
      <c r="K34" s="36"/>
      <c r="L34" s="46"/>
      <c r="M34" s="44"/>
      <c r="N34" s="36"/>
      <c r="O34" s="36"/>
      <c r="P34" s="36"/>
      <c r="Q34" s="46"/>
      <c r="R34" s="44">
        <v>1</v>
      </c>
      <c r="S34" s="36"/>
      <c r="T34" s="36"/>
      <c r="U34" s="36"/>
      <c r="V34" s="46"/>
      <c r="W34" s="44">
        <v>1</v>
      </c>
      <c r="X34" s="36">
        <v>1</v>
      </c>
      <c r="Y34" s="36"/>
      <c r="Z34" s="46"/>
      <c r="AA34" s="44"/>
      <c r="AB34" s="36"/>
      <c r="AC34" s="36"/>
      <c r="AD34" s="36"/>
      <c r="AE34" s="52"/>
      <c r="AF34" s="44"/>
      <c r="AG34" s="36"/>
      <c r="AH34" s="36"/>
      <c r="AI34" s="36"/>
      <c r="AJ34" s="36"/>
      <c r="AK34" s="41"/>
    </row>
    <row r="35" spans="2:37" ht="12">
      <c r="B35" s="333"/>
      <c r="C35" s="71" t="s">
        <v>150</v>
      </c>
      <c r="D35" s="36"/>
      <c r="E35" s="36"/>
      <c r="F35" s="36"/>
      <c r="G35" s="46"/>
      <c r="H35" s="44"/>
      <c r="I35" s="36">
        <v>1</v>
      </c>
      <c r="J35" s="36">
        <v>1</v>
      </c>
      <c r="K35" s="36">
        <v>1</v>
      </c>
      <c r="L35" s="46"/>
      <c r="M35" s="44"/>
      <c r="N35" s="36">
        <v>1</v>
      </c>
      <c r="O35" s="36"/>
      <c r="P35" s="36"/>
      <c r="Q35" s="46"/>
      <c r="R35" s="44">
        <v>1</v>
      </c>
      <c r="S35" s="36"/>
      <c r="T35" s="36"/>
      <c r="U35" s="36"/>
      <c r="V35" s="46"/>
      <c r="W35" s="44"/>
      <c r="X35" s="36"/>
      <c r="Y35" s="36"/>
      <c r="Z35" s="46"/>
      <c r="AA35" s="44"/>
      <c r="AB35" s="36"/>
      <c r="AC35" s="36"/>
      <c r="AD35" s="36"/>
      <c r="AE35" s="52"/>
      <c r="AF35" s="44"/>
      <c r="AG35" s="36"/>
      <c r="AH35" s="36"/>
      <c r="AI35" s="36"/>
      <c r="AJ35" s="36"/>
      <c r="AK35" s="41"/>
    </row>
    <row r="36" spans="2:37" ht="12">
      <c r="B36" s="333"/>
      <c r="C36" s="71" t="s">
        <v>151</v>
      </c>
      <c r="D36" s="36"/>
      <c r="E36" s="36">
        <v>1</v>
      </c>
      <c r="F36" s="36"/>
      <c r="G36" s="46"/>
      <c r="H36" s="44"/>
      <c r="I36" s="36"/>
      <c r="J36" s="36"/>
      <c r="K36" s="36"/>
      <c r="L36" s="46"/>
      <c r="M36" s="44">
        <v>1</v>
      </c>
      <c r="N36" s="36"/>
      <c r="O36" s="36"/>
      <c r="P36" s="36"/>
      <c r="Q36" s="46"/>
      <c r="R36" s="44"/>
      <c r="S36" s="36"/>
      <c r="T36" s="36"/>
      <c r="U36" s="36"/>
      <c r="V36" s="46"/>
      <c r="W36" s="44"/>
      <c r="X36" s="36"/>
      <c r="Y36" s="36"/>
      <c r="Z36" s="46"/>
      <c r="AA36" s="44"/>
      <c r="AB36" s="36"/>
      <c r="AC36" s="36"/>
      <c r="AD36" s="36"/>
      <c r="AE36" s="52"/>
      <c r="AF36" s="44"/>
      <c r="AG36" s="36"/>
      <c r="AH36" s="36"/>
      <c r="AI36" s="36"/>
      <c r="AJ36" s="36"/>
      <c r="AK36" s="41"/>
    </row>
    <row r="37" spans="2:37" ht="12">
      <c r="B37" s="333"/>
      <c r="C37" s="71" t="s">
        <v>152</v>
      </c>
      <c r="D37" s="36"/>
      <c r="E37" s="36"/>
      <c r="F37" s="36"/>
      <c r="G37" s="46"/>
      <c r="H37" s="44"/>
      <c r="I37" s="36"/>
      <c r="J37" s="36"/>
      <c r="K37" s="36"/>
      <c r="L37" s="46"/>
      <c r="M37" s="44"/>
      <c r="N37" s="36"/>
      <c r="O37" s="36"/>
      <c r="P37" s="36"/>
      <c r="Q37" s="46"/>
      <c r="R37" s="44"/>
      <c r="S37" s="36"/>
      <c r="T37" s="36"/>
      <c r="U37" s="36"/>
      <c r="V37" s="46"/>
      <c r="W37" s="44"/>
      <c r="X37" s="36"/>
      <c r="Y37" s="36"/>
      <c r="Z37" s="46"/>
      <c r="AA37" s="44"/>
      <c r="AB37" s="36"/>
      <c r="AC37" s="36">
        <v>1</v>
      </c>
      <c r="AD37" s="50"/>
      <c r="AE37" s="46"/>
      <c r="AF37" s="44">
        <v>1</v>
      </c>
      <c r="AG37" s="36">
        <v>1</v>
      </c>
      <c r="AH37" s="36"/>
      <c r="AI37" s="36"/>
      <c r="AJ37" s="36"/>
      <c r="AK37" s="41"/>
    </row>
    <row r="38" spans="2:37" ht="12">
      <c r="B38" s="333"/>
      <c r="C38" s="71" t="s">
        <v>153</v>
      </c>
      <c r="D38" s="36"/>
      <c r="E38" s="36"/>
      <c r="F38" s="36"/>
      <c r="G38" s="46"/>
      <c r="H38" s="44"/>
      <c r="I38" s="36"/>
      <c r="J38" s="36"/>
      <c r="K38" s="36"/>
      <c r="L38" s="46"/>
      <c r="M38" s="44"/>
      <c r="N38" s="36"/>
      <c r="O38" s="36"/>
      <c r="P38" s="36"/>
      <c r="Q38" s="46"/>
      <c r="R38" s="44"/>
      <c r="S38" s="36"/>
      <c r="T38" s="36"/>
      <c r="U38" s="36"/>
      <c r="V38" s="46"/>
      <c r="W38" s="44"/>
      <c r="X38" s="36"/>
      <c r="Y38" s="36"/>
      <c r="Z38" s="46"/>
      <c r="AA38" s="44"/>
      <c r="AB38" s="36">
        <v>1</v>
      </c>
      <c r="AC38" s="36"/>
      <c r="AD38" s="50"/>
      <c r="AE38" s="46"/>
      <c r="AF38" s="44"/>
      <c r="AG38" s="36"/>
      <c r="AH38" s="36"/>
      <c r="AI38" s="36"/>
      <c r="AJ38" s="36"/>
      <c r="AK38" s="41"/>
    </row>
    <row r="39" spans="2:37" ht="12">
      <c r="B39" s="333"/>
      <c r="C39" s="71" t="s">
        <v>154</v>
      </c>
      <c r="D39" s="36">
        <v>1</v>
      </c>
      <c r="E39" s="36">
        <v>1</v>
      </c>
      <c r="F39" s="36"/>
      <c r="G39" s="46"/>
      <c r="H39" s="44">
        <v>1</v>
      </c>
      <c r="I39" s="36">
        <v>2</v>
      </c>
      <c r="J39" s="36">
        <v>1</v>
      </c>
      <c r="K39" s="36">
        <v>1</v>
      </c>
      <c r="L39" s="46">
        <v>1</v>
      </c>
      <c r="M39" s="44"/>
      <c r="N39" s="36"/>
      <c r="O39" s="36"/>
      <c r="P39" s="36"/>
      <c r="Q39" s="46"/>
      <c r="R39" s="44"/>
      <c r="S39" s="36"/>
      <c r="T39" s="36"/>
      <c r="U39" s="36"/>
      <c r="V39" s="46"/>
      <c r="W39" s="44"/>
      <c r="X39" s="36"/>
      <c r="Y39" s="36"/>
      <c r="Z39" s="46"/>
      <c r="AA39" s="44"/>
      <c r="AB39" s="36"/>
      <c r="AC39" s="36"/>
      <c r="AD39" s="50"/>
      <c r="AE39" s="46"/>
      <c r="AF39" s="44"/>
      <c r="AG39" s="36"/>
      <c r="AH39" s="36"/>
      <c r="AI39" s="36"/>
      <c r="AJ39" s="36"/>
      <c r="AK39" s="41"/>
    </row>
    <row r="40" spans="2:37" ht="12">
      <c r="B40" s="333"/>
      <c r="C40" s="71" t="s">
        <v>155</v>
      </c>
      <c r="D40" s="36"/>
      <c r="E40" s="36">
        <v>1</v>
      </c>
      <c r="F40" s="36"/>
      <c r="G40" s="46"/>
      <c r="H40" s="44"/>
      <c r="I40" s="36"/>
      <c r="J40" s="36"/>
      <c r="K40" s="36"/>
      <c r="L40" s="46"/>
      <c r="M40" s="44"/>
      <c r="N40" s="36"/>
      <c r="O40" s="36"/>
      <c r="P40" s="36"/>
      <c r="Q40" s="46"/>
      <c r="R40" s="44"/>
      <c r="S40" s="36"/>
      <c r="T40" s="36"/>
      <c r="U40" s="36"/>
      <c r="V40" s="46"/>
      <c r="W40" s="44"/>
      <c r="X40" s="36"/>
      <c r="Y40" s="36"/>
      <c r="Z40" s="46"/>
      <c r="AA40" s="44"/>
      <c r="AB40" s="36"/>
      <c r="AC40" s="36"/>
      <c r="AD40" s="50"/>
      <c r="AE40" s="46"/>
      <c r="AF40" s="44"/>
      <c r="AG40" s="36"/>
      <c r="AH40" s="36"/>
      <c r="AI40" s="36"/>
      <c r="AJ40" s="36"/>
      <c r="AK40" s="41"/>
    </row>
    <row r="41" spans="2:37" ht="12">
      <c r="B41" s="333"/>
      <c r="C41" s="71" t="s">
        <v>156</v>
      </c>
      <c r="D41" s="36">
        <v>1</v>
      </c>
      <c r="E41" s="36">
        <v>1</v>
      </c>
      <c r="F41" s="36">
        <v>1</v>
      </c>
      <c r="G41" s="46">
        <v>1</v>
      </c>
      <c r="H41" s="44"/>
      <c r="I41" s="36"/>
      <c r="J41" s="36"/>
      <c r="K41" s="36"/>
      <c r="L41" s="46"/>
      <c r="M41" s="44"/>
      <c r="N41" s="36"/>
      <c r="O41" s="36"/>
      <c r="P41" s="36"/>
      <c r="Q41" s="46"/>
      <c r="R41" s="44"/>
      <c r="S41" s="36"/>
      <c r="T41" s="36"/>
      <c r="U41" s="36"/>
      <c r="V41" s="46"/>
      <c r="W41" s="44"/>
      <c r="X41" s="36"/>
      <c r="Y41" s="36"/>
      <c r="Z41" s="46"/>
      <c r="AA41" s="44"/>
      <c r="AB41" s="36"/>
      <c r="AC41" s="36"/>
      <c r="AD41" s="50"/>
      <c r="AE41" s="46"/>
      <c r="AF41" s="44"/>
      <c r="AG41" s="36"/>
      <c r="AH41" s="36"/>
      <c r="AI41" s="36"/>
      <c r="AJ41" s="36"/>
      <c r="AK41" s="41"/>
    </row>
    <row r="42" spans="2:37" ht="12">
      <c r="B42" s="333"/>
      <c r="C42" s="71" t="s">
        <v>177</v>
      </c>
      <c r="D42" s="36"/>
      <c r="E42" s="36"/>
      <c r="F42" s="36"/>
      <c r="G42" s="46"/>
      <c r="H42" s="44"/>
      <c r="I42" s="36"/>
      <c r="J42" s="36"/>
      <c r="K42" s="36"/>
      <c r="L42" s="46"/>
      <c r="M42" s="44"/>
      <c r="N42" s="36"/>
      <c r="O42" s="36"/>
      <c r="P42" s="36"/>
      <c r="Q42" s="46"/>
      <c r="R42" s="44"/>
      <c r="S42" s="36"/>
      <c r="T42" s="36"/>
      <c r="U42" s="36"/>
      <c r="V42" s="46"/>
      <c r="W42" s="44"/>
      <c r="X42" s="36"/>
      <c r="Y42" s="36"/>
      <c r="Z42" s="46"/>
      <c r="AA42" s="44"/>
      <c r="AB42" s="36"/>
      <c r="AC42" s="36"/>
      <c r="AD42" s="50">
        <v>1</v>
      </c>
      <c r="AE42" s="46">
        <v>1</v>
      </c>
      <c r="AF42" s="44"/>
      <c r="AG42" s="36"/>
      <c r="AH42" s="36">
        <v>1</v>
      </c>
      <c r="AI42" s="36"/>
      <c r="AJ42" s="36"/>
      <c r="AK42" s="41"/>
    </row>
    <row r="43" spans="2:37" ht="12">
      <c r="B43" s="333"/>
      <c r="C43" s="71" t="s">
        <v>157</v>
      </c>
      <c r="D43" s="36"/>
      <c r="E43" s="36"/>
      <c r="F43" s="36"/>
      <c r="G43" s="46"/>
      <c r="H43" s="44"/>
      <c r="I43" s="36"/>
      <c r="J43" s="36"/>
      <c r="K43" s="36"/>
      <c r="L43" s="46"/>
      <c r="M43" s="44"/>
      <c r="N43" s="36"/>
      <c r="O43" s="36"/>
      <c r="P43" s="36"/>
      <c r="Q43" s="46"/>
      <c r="R43" s="44"/>
      <c r="S43" s="36"/>
      <c r="T43" s="36"/>
      <c r="U43" s="36"/>
      <c r="V43" s="46"/>
      <c r="W43" s="44"/>
      <c r="X43" s="36"/>
      <c r="Y43" s="36"/>
      <c r="Z43" s="46"/>
      <c r="AA43" s="44"/>
      <c r="AB43" s="36"/>
      <c r="AC43" s="36">
        <v>1</v>
      </c>
      <c r="AD43" s="50"/>
      <c r="AE43" s="46"/>
      <c r="AF43" s="44"/>
      <c r="AG43" s="36"/>
      <c r="AH43" s="36"/>
      <c r="AI43" s="36"/>
      <c r="AJ43" s="36"/>
      <c r="AK43" s="41"/>
    </row>
    <row r="44" spans="2:37" ht="12">
      <c r="B44" s="333"/>
      <c r="C44" s="71" t="s">
        <v>158</v>
      </c>
      <c r="D44" s="36"/>
      <c r="E44" s="36"/>
      <c r="F44" s="36"/>
      <c r="G44" s="46">
        <v>1</v>
      </c>
      <c r="H44" s="44"/>
      <c r="I44" s="36">
        <v>1</v>
      </c>
      <c r="J44" s="36"/>
      <c r="K44" s="36">
        <v>1</v>
      </c>
      <c r="L44" s="46">
        <v>1</v>
      </c>
      <c r="M44" s="44"/>
      <c r="N44" s="36"/>
      <c r="O44" s="36"/>
      <c r="P44" s="36"/>
      <c r="Q44" s="46"/>
      <c r="R44" s="44"/>
      <c r="S44" s="36"/>
      <c r="T44" s="36"/>
      <c r="U44" s="36"/>
      <c r="V44" s="46"/>
      <c r="W44" s="44"/>
      <c r="X44" s="36"/>
      <c r="Y44" s="36"/>
      <c r="Z44" s="46"/>
      <c r="AA44" s="44"/>
      <c r="AB44" s="36"/>
      <c r="AC44" s="36">
        <v>1</v>
      </c>
      <c r="AD44" s="50"/>
      <c r="AE44" s="46"/>
      <c r="AF44" s="44"/>
      <c r="AG44" s="36"/>
      <c r="AH44" s="36"/>
      <c r="AI44" s="36"/>
      <c r="AJ44" s="36"/>
      <c r="AK44" s="41"/>
    </row>
    <row r="45" spans="2:37" ht="12">
      <c r="B45" s="333"/>
      <c r="C45" s="71" t="s">
        <v>159</v>
      </c>
      <c r="D45" s="36"/>
      <c r="E45" s="36"/>
      <c r="F45" s="36"/>
      <c r="G45" s="46"/>
      <c r="H45" s="44"/>
      <c r="I45" s="36"/>
      <c r="J45" s="36"/>
      <c r="K45" s="36"/>
      <c r="L45" s="46"/>
      <c r="M45" s="44"/>
      <c r="N45" s="36"/>
      <c r="O45" s="36"/>
      <c r="P45" s="36"/>
      <c r="Q45" s="46"/>
      <c r="R45" s="44"/>
      <c r="S45" s="36"/>
      <c r="T45" s="36"/>
      <c r="U45" s="36"/>
      <c r="V45" s="46"/>
      <c r="W45" s="44">
        <v>1</v>
      </c>
      <c r="X45" s="36"/>
      <c r="Y45" s="36"/>
      <c r="Z45" s="46"/>
      <c r="AA45" s="44"/>
      <c r="AB45" s="36"/>
      <c r="AC45" s="36"/>
      <c r="AD45" s="50"/>
      <c r="AE45" s="46"/>
      <c r="AF45" s="44"/>
      <c r="AG45" s="36"/>
      <c r="AH45" s="36"/>
      <c r="AI45" s="36"/>
      <c r="AJ45" s="36"/>
      <c r="AK45" s="41"/>
    </row>
    <row r="46" spans="2:37" ht="12">
      <c r="B46" s="333"/>
      <c r="C46" s="71" t="s">
        <v>160</v>
      </c>
      <c r="D46" s="36">
        <v>1</v>
      </c>
      <c r="E46" s="36"/>
      <c r="F46" s="36">
        <v>1</v>
      </c>
      <c r="G46" s="46"/>
      <c r="H46" s="44">
        <v>1</v>
      </c>
      <c r="I46" s="36"/>
      <c r="J46" s="36"/>
      <c r="K46" s="36">
        <v>1</v>
      </c>
      <c r="L46" s="46"/>
      <c r="M46" s="44"/>
      <c r="N46" s="36"/>
      <c r="O46" s="36"/>
      <c r="P46" s="36"/>
      <c r="Q46" s="46"/>
      <c r="R46" s="44"/>
      <c r="S46" s="36"/>
      <c r="T46" s="36"/>
      <c r="U46" s="36"/>
      <c r="V46" s="46"/>
      <c r="W46" s="44"/>
      <c r="X46" s="36"/>
      <c r="Y46" s="36"/>
      <c r="Z46" s="46"/>
      <c r="AA46" s="44"/>
      <c r="AB46" s="36"/>
      <c r="AC46" s="36"/>
      <c r="AD46" s="50"/>
      <c r="AE46" s="46"/>
      <c r="AF46" s="44"/>
      <c r="AG46" s="36"/>
      <c r="AH46" s="36"/>
      <c r="AI46" s="36"/>
      <c r="AJ46" s="36"/>
      <c r="AK46" s="41"/>
    </row>
    <row r="47" spans="2:37" ht="12">
      <c r="B47" s="333"/>
      <c r="C47" s="71" t="s">
        <v>161</v>
      </c>
      <c r="D47" s="36">
        <v>1</v>
      </c>
      <c r="E47" s="36">
        <v>1</v>
      </c>
      <c r="F47" s="36"/>
      <c r="G47" s="46">
        <v>1</v>
      </c>
      <c r="H47" s="44">
        <v>1</v>
      </c>
      <c r="I47" s="36">
        <v>1</v>
      </c>
      <c r="J47" s="36">
        <v>1</v>
      </c>
      <c r="K47" s="36">
        <v>1</v>
      </c>
      <c r="L47" s="46">
        <v>1</v>
      </c>
      <c r="M47" s="44"/>
      <c r="N47" s="36"/>
      <c r="O47" s="36"/>
      <c r="P47" s="36"/>
      <c r="Q47" s="46"/>
      <c r="R47" s="44"/>
      <c r="S47" s="36"/>
      <c r="T47" s="36"/>
      <c r="U47" s="36"/>
      <c r="V47" s="46"/>
      <c r="W47" s="44"/>
      <c r="X47" s="36"/>
      <c r="Y47" s="36"/>
      <c r="Z47" s="46"/>
      <c r="AA47" s="44"/>
      <c r="AB47" s="36"/>
      <c r="AC47" s="36"/>
      <c r="AD47" s="50"/>
      <c r="AE47" s="46"/>
      <c r="AF47" s="44"/>
      <c r="AG47" s="36"/>
      <c r="AH47" s="36"/>
      <c r="AI47" s="36"/>
      <c r="AJ47" s="36"/>
      <c r="AK47" s="41"/>
    </row>
    <row r="48" spans="2:37" ht="12">
      <c r="B48" s="333"/>
      <c r="C48" s="71" t="s">
        <v>175</v>
      </c>
      <c r="D48" s="36"/>
      <c r="E48" s="36"/>
      <c r="F48" s="36"/>
      <c r="G48" s="46"/>
      <c r="H48" s="44"/>
      <c r="I48" s="36"/>
      <c r="J48" s="36"/>
      <c r="K48" s="36"/>
      <c r="L48" s="46"/>
      <c r="M48" s="44"/>
      <c r="N48" s="36"/>
      <c r="O48" s="36"/>
      <c r="P48" s="36"/>
      <c r="Q48" s="46"/>
      <c r="R48" s="44"/>
      <c r="S48" s="36"/>
      <c r="T48" s="36"/>
      <c r="U48" s="36"/>
      <c r="V48" s="46"/>
      <c r="W48" s="44">
        <v>1</v>
      </c>
      <c r="X48" s="36"/>
      <c r="Y48" s="36"/>
      <c r="Z48" s="46"/>
      <c r="AA48" s="44"/>
      <c r="AB48" s="36"/>
      <c r="AC48" s="36"/>
      <c r="AD48" s="50"/>
      <c r="AE48" s="46"/>
      <c r="AF48" s="44"/>
      <c r="AG48" s="36"/>
      <c r="AH48" s="36"/>
      <c r="AI48" s="36"/>
      <c r="AJ48" s="36"/>
    </row>
    <row r="49" spans="2:20">
      <c r="N49" s="16"/>
      <c r="O49" s="16"/>
      <c r="P49" s="16"/>
      <c r="Q49" s="16"/>
      <c r="R49" s="16"/>
    </row>
    <row r="50" spans="2:20">
      <c r="B50" s="324" t="s">
        <v>36</v>
      </c>
      <c r="C50" s="37" t="s">
        <v>35</v>
      </c>
      <c r="D50" s="327" t="s">
        <v>73</v>
      </c>
      <c r="E50" s="327"/>
      <c r="F50" s="327"/>
      <c r="G50" s="327"/>
      <c r="H50" s="327"/>
      <c r="I50" s="327"/>
      <c r="J50" s="327"/>
      <c r="K50" s="327"/>
      <c r="L50" s="327"/>
      <c r="M50" s="327"/>
      <c r="N50" s="327"/>
      <c r="O50" s="327"/>
      <c r="P50" s="327"/>
    </row>
    <row r="51" spans="2:20">
      <c r="B51" s="326"/>
      <c r="C51" s="37" t="s">
        <v>30</v>
      </c>
      <c r="D51" s="37" t="s">
        <v>143</v>
      </c>
      <c r="E51" s="61" t="s">
        <v>178</v>
      </c>
      <c r="F51" s="37" t="s">
        <v>162</v>
      </c>
      <c r="G51" s="37" t="s">
        <v>163</v>
      </c>
      <c r="H51" s="15" t="s">
        <v>199</v>
      </c>
      <c r="I51" s="37" t="s">
        <v>179</v>
      </c>
      <c r="J51" s="37" t="s">
        <v>180</v>
      </c>
      <c r="K51" s="37" t="s">
        <v>181</v>
      </c>
      <c r="L51" s="37" t="s">
        <v>182</v>
      </c>
      <c r="M51" s="37" t="s">
        <v>183</v>
      </c>
      <c r="N51" s="37" t="s">
        <v>184</v>
      </c>
      <c r="O51" s="15" t="s">
        <v>185</v>
      </c>
      <c r="P51" s="221" t="s">
        <v>186</v>
      </c>
    </row>
    <row r="52" spans="2:20">
      <c r="B52" s="17" t="s">
        <v>29</v>
      </c>
      <c r="C52" s="37" t="s">
        <v>77</v>
      </c>
      <c r="D52" s="74">
        <v>0.85</v>
      </c>
      <c r="E52" s="74">
        <v>0.85</v>
      </c>
      <c r="F52" s="74">
        <v>2.15</v>
      </c>
      <c r="G52" s="74">
        <v>2.15</v>
      </c>
      <c r="H52" s="15">
        <v>4.2</v>
      </c>
      <c r="I52" s="74">
        <v>4.2</v>
      </c>
      <c r="J52" s="74">
        <v>6.45</v>
      </c>
      <c r="K52" s="74">
        <v>6.45</v>
      </c>
      <c r="L52" s="74">
        <v>8.8000000000000007</v>
      </c>
      <c r="M52" s="74">
        <v>8.8000000000000007</v>
      </c>
      <c r="N52" s="74">
        <v>14.45</v>
      </c>
      <c r="O52" s="75">
        <v>14.45</v>
      </c>
      <c r="P52" s="75">
        <v>17.7</v>
      </c>
      <c r="Q52" s="76"/>
      <c r="R52" s="76"/>
    </row>
    <row r="53" spans="2:20" ht="12">
      <c r="B53" s="324" t="s">
        <v>40</v>
      </c>
      <c r="C53" s="73" t="s">
        <v>130</v>
      </c>
      <c r="D53" s="74"/>
      <c r="E53" s="74"/>
      <c r="F53" s="74"/>
      <c r="G53" s="74"/>
      <c r="H53" s="15"/>
      <c r="I53" s="74">
        <v>1</v>
      </c>
      <c r="J53" s="74"/>
      <c r="K53" s="74"/>
      <c r="L53" s="74"/>
      <c r="M53" s="74"/>
      <c r="N53" s="74"/>
      <c r="O53" s="75"/>
      <c r="P53" s="75"/>
      <c r="Q53" s="76"/>
      <c r="R53" s="76"/>
    </row>
    <row r="54" spans="2:20">
      <c r="B54" s="325"/>
      <c r="C54" s="62" t="s">
        <v>187</v>
      </c>
      <c r="D54" s="74"/>
      <c r="E54" s="74"/>
      <c r="F54" s="74">
        <v>1</v>
      </c>
      <c r="G54" s="74"/>
      <c r="H54" s="15"/>
      <c r="I54" s="74">
        <v>1</v>
      </c>
      <c r="J54" s="74"/>
      <c r="K54" s="74"/>
      <c r="L54" s="74"/>
      <c r="M54" s="74"/>
      <c r="N54" s="74"/>
      <c r="O54" s="75"/>
      <c r="P54" s="75"/>
      <c r="Q54" s="76"/>
      <c r="R54" s="76"/>
    </row>
    <row r="55" spans="2:20">
      <c r="B55" s="325"/>
      <c r="C55" s="62" t="s">
        <v>188</v>
      </c>
      <c r="D55" s="74"/>
      <c r="E55" s="74"/>
      <c r="F55" s="74"/>
      <c r="G55" s="74"/>
      <c r="H55" s="15"/>
      <c r="I55" s="74"/>
      <c r="J55" s="74"/>
      <c r="K55" s="74"/>
      <c r="L55" s="74"/>
      <c r="M55" s="74"/>
      <c r="N55" s="74"/>
      <c r="O55" s="75">
        <v>1</v>
      </c>
      <c r="P55" s="75"/>
      <c r="Q55" s="76"/>
      <c r="R55" s="76"/>
    </row>
    <row r="56" spans="2:20">
      <c r="B56" s="325"/>
      <c r="C56" s="62" t="s">
        <v>189</v>
      </c>
      <c r="D56" s="74"/>
      <c r="E56" s="74"/>
      <c r="F56" s="74"/>
      <c r="G56" s="74"/>
      <c r="H56" s="15"/>
      <c r="I56" s="74"/>
      <c r="J56" s="74"/>
      <c r="K56" s="74"/>
      <c r="L56" s="74"/>
      <c r="M56" s="74"/>
      <c r="N56" s="74"/>
      <c r="O56" s="75">
        <v>1</v>
      </c>
      <c r="P56" s="75"/>
      <c r="Q56" s="76"/>
      <c r="R56" s="76"/>
    </row>
    <row r="57" spans="2:20">
      <c r="B57" s="326"/>
      <c r="C57" s="63" t="s">
        <v>80</v>
      </c>
      <c r="D57" s="74"/>
      <c r="E57" s="74"/>
      <c r="F57" s="74"/>
      <c r="G57" s="74"/>
      <c r="H57" s="15"/>
      <c r="I57" s="74"/>
      <c r="J57" s="74"/>
      <c r="K57" s="74"/>
      <c r="L57" s="74"/>
      <c r="M57" s="74"/>
      <c r="N57" s="74"/>
      <c r="O57" s="75">
        <v>1</v>
      </c>
      <c r="P57" s="75"/>
      <c r="Q57" s="76"/>
      <c r="R57" s="76"/>
      <c r="T57" s="60"/>
    </row>
    <row r="58" spans="2:20" ht="12">
      <c r="B58" s="65" t="s">
        <v>39</v>
      </c>
      <c r="C58" s="71" t="s">
        <v>86</v>
      </c>
      <c r="D58" s="74">
        <v>2</v>
      </c>
      <c r="E58" s="74">
        <v>2</v>
      </c>
      <c r="F58" s="74">
        <v>2</v>
      </c>
      <c r="G58" s="74">
        <v>1</v>
      </c>
      <c r="H58" s="15">
        <v>1</v>
      </c>
      <c r="I58" s="74">
        <v>1</v>
      </c>
      <c r="J58" s="74">
        <v>1</v>
      </c>
      <c r="K58" s="74">
        <v>1</v>
      </c>
      <c r="L58" s="74">
        <v>1</v>
      </c>
      <c r="M58" s="87">
        <v>1</v>
      </c>
      <c r="N58" s="74"/>
      <c r="O58" s="75"/>
      <c r="P58" s="75"/>
      <c r="Q58" s="76"/>
      <c r="R58" s="76"/>
      <c r="T58" s="60"/>
    </row>
    <row r="59" spans="2:20" ht="12">
      <c r="B59" s="66"/>
      <c r="C59" s="71" t="s">
        <v>136</v>
      </c>
      <c r="D59" s="74"/>
      <c r="E59" s="74"/>
      <c r="F59" s="74"/>
      <c r="G59" s="74">
        <v>1</v>
      </c>
      <c r="H59" s="15">
        <v>1</v>
      </c>
      <c r="I59" s="74"/>
      <c r="J59" s="74"/>
      <c r="K59" s="74"/>
      <c r="L59" s="74"/>
      <c r="M59" s="74"/>
      <c r="N59" s="74"/>
      <c r="O59" s="75"/>
      <c r="P59" s="75"/>
      <c r="Q59" s="76"/>
      <c r="R59" s="76"/>
      <c r="T59" s="60"/>
    </row>
    <row r="60" spans="2:20" ht="12">
      <c r="B60" s="66"/>
      <c r="C60" s="71" t="s">
        <v>138</v>
      </c>
      <c r="D60" s="74"/>
      <c r="E60" s="74"/>
      <c r="F60" s="74"/>
      <c r="G60" s="74"/>
      <c r="H60" s="15"/>
      <c r="I60" s="74"/>
      <c r="J60" s="74"/>
      <c r="K60" s="74"/>
      <c r="L60" s="74"/>
      <c r="M60" s="74"/>
      <c r="N60" s="74"/>
      <c r="O60" s="75">
        <v>1</v>
      </c>
      <c r="P60" s="88">
        <v>1</v>
      </c>
      <c r="Q60" s="76"/>
      <c r="R60" s="76"/>
      <c r="T60" s="60"/>
    </row>
    <row r="61" spans="2:20" ht="12">
      <c r="B61" s="66"/>
      <c r="C61" s="71" t="s">
        <v>89</v>
      </c>
      <c r="D61" s="74">
        <v>1</v>
      </c>
      <c r="E61" s="74">
        <v>1</v>
      </c>
      <c r="F61" s="74">
        <v>1</v>
      </c>
      <c r="G61" s="74">
        <v>1</v>
      </c>
      <c r="H61" s="15">
        <v>1</v>
      </c>
      <c r="I61" s="74">
        <v>1</v>
      </c>
      <c r="J61" s="74">
        <v>1</v>
      </c>
      <c r="K61" s="74">
        <v>1</v>
      </c>
      <c r="L61" s="74">
        <v>1</v>
      </c>
      <c r="M61" s="192">
        <v>1</v>
      </c>
      <c r="N61" s="192">
        <v>2</v>
      </c>
      <c r="O61" s="88">
        <v>2</v>
      </c>
      <c r="P61" s="88">
        <v>1</v>
      </c>
      <c r="Q61" s="76"/>
      <c r="R61" s="76"/>
    </row>
    <row r="62" spans="2:20">
      <c r="B62" s="66"/>
      <c r="C62" s="62" t="s">
        <v>190</v>
      </c>
      <c r="D62" s="74">
        <v>1</v>
      </c>
      <c r="E62" s="74"/>
      <c r="F62" s="74"/>
      <c r="G62" s="74"/>
      <c r="H62" s="15"/>
      <c r="I62" s="74"/>
      <c r="J62" s="74"/>
      <c r="K62" s="74"/>
      <c r="L62" s="74"/>
      <c r="M62" s="74"/>
      <c r="N62" s="74"/>
      <c r="O62" s="75"/>
      <c r="P62" s="75"/>
      <c r="Q62" s="76"/>
      <c r="R62" s="76"/>
    </row>
    <row r="63" spans="2:20">
      <c r="B63" s="66"/>
      <c r="C63" s="62" t="s">
        <v>99</v>
      </c>
      <c r="D63" s="74"/>
      <c r="E63" s="74"/>
      <c r="F63" s="74"/>
      <c r="G63" s="74"/>
      <c r="H63" s="15"/>
      <c r="I63" s="74"/>
      <c r="J63" s="74"/>
      <c r="K63" s="74"/>
      <c r="L63" s="74">
        <v>1</v>
      </c>
      <c r="M63" s="74"/>
      <c r="N63" s="74"/>
      <c r="O63" s="75"/>
      <c r="P63" s="75"/>
      <c r="Q63" s="76"/>
      <c r="R63" s="76"/>
    </row>
    <row r="64" spans="2:20">
      <c r="B64" s="66"/>
      <c r="C64" s="62" t="s">
        <v>191</v>
      </c>
      <c r="D64" s="192">
        <v>3</v>
      </c>
      <c r="E64" s="193">
        <v>2</v>
      </c>
      <c r="F64" s="193">
        <v>2</v>
      </c>
      <c r="G64" s="193">
        <v>2</v>
      </c>
      <c r="H64" s="15"/>
      <c r="I64" s="74"/>
      <c r="J64" s="74"/>
      <c r="K64" s="74"/>
      <c r="L64" s="74"/>
      <c r="M64" s="74"/>
      <c r="N64" s="74"/>
      <c r="O64" s="75"/>
      <c r="P64" s="75"/>
      <c r="Q64" s="76"/>
      <c r="R64" s="76"/>
    </row>
    <row r="65" spans="2:18">
      <c r="B65" s="66"/>
      <c r="C65" s="62" t="s">
        <v>192</v>
      </c>
      <c r="D65" s="74"/>
      <c r="E65" s="74"/>
      <c r="F65" s="74"/>
      <c r="G65" s="74"/>
      <c r="H65" s="15">
        <v>1</v>
      </c>
      <c r="I65" s="74">
        <v>1</v>
      </c>
      <c r="J65" s="196" t="s">
        <v>221</v>
      </c>
      <c r="K65" s="192">
        <v>5</v>
      </c>
      <c r="L65" s="192">
        <v>3</v>
      </c>
      <c r="M65" s="74"/>
      <c r="N65" s="74"/>
      <c r="O65" s="75"/>
      <c r="P65" s="75"/>
      <c r="Q65" s="76"/>
      <c r="R65" s="76"/>
    </row>
    <row r="66" spans="2:18">
      <c r="B66" s="66"/>
      <c r="C66" s="62" t="s">
        <v>193</v>
      </c>
      <c r="D66" s="74">
        <v>2</v>
      </c>
      <c r="E66" s="74">
        <v>1</v>
      </c>
      <c r="F66" s="74">
        <v>1</v>
      </c>
      <c r="G66" s="193">
        <v>2</v>
      </c>
      <c r="H66" s="194">
        <v>2</v>
      </c>
      <c r="I66" s="195">
        <v>2</v>
      </c>
      <c r="J66" s="74">
        <v>1</v>
      </c>
      <c r="K66" s="74">
        <v>1</v>
      </c>
      <c r="L66" s="74">
        <v>1</v>
      </c>
      <c r="M66" s="74"/>
      <c r="N66" s="74"/>
      <c r="O66" s="75"/>
      <c r="P66" s="75"/>
      <c r="Q66" s="76"/>
      <c r="R66" s="76"/>
    </row>
    <row r="67" spans="2:18">
      <c r="B67" s="66"/>
      <c r="C67" s="8" t="s">
        <v>206</v>
      </c>
      <c r="D67" s="74">
        <v>1</v>
      </c>
      <c r="E67" s="74">
        <v>1</v>
      </c>
      <c r="F67" s="74">
        <v>1</v>
      </c>
      <c r="G67" s="74">
        <v>1</v>
      </c>
      <c r="H67" s="38">
        <v>1</v>
      </c>
      <c r="I67" s="74">
        <v>1</v>
      </c>
      <c r="J67" s="74">
        <v>1</v>
      </c>
      <c r="K67" s="74"/>
      <c r="L67" s="74"/>
      <c r="M67" s="74"/>
      <c r="N67" s="74"/>
      <c r="O67" s="75"/>
      <c r="P67" s="75"/>
      <c r="Q67" s="76"/>
      <c r="R67" s="76"/>
    </row>
    <row r="68" spans="2:18" ht="12">
      <c r="B68" s="66"/>
      <c r="C68" s="72" t="s">
        <v>142</v>
      </c>
      <c r="D68" s="15">
        <v>1</v>
      </c>
      <c r="E68" s="15"/>
      <c r="F68" s="15"/>
      <c r="G68" s="15"/>
      <c r="H68" s="15"/>
      <c r="I68" s="15"/>
      <c r="J68" s="15"/>
      <c r="K68" s="74"/>
      <c r="L68" s="74"/>
      <c r="M68" s="74"/>
      <c r="N68" s="74"/>
      <c r="O68" s="75"/>
      <c r="P68" s="75"/>
      <c r="Q68" s="76"/>
      <c r="R68" s="76"/>
    </row>
    <row r="69" spans="2:18">
      <c r="B69" s="65" t="s">
        <v>38</v>
      </c>
      <c r="C69" s="62" t="s">
        <v>194</v>
      </c>
      <c r="D69" s="74"/>
      <c r="E69" s="74"/>
      <c r="F69" s="74"/>
      <c r="G69" s="74">
        <v>1</v>
      </c>
      <c r="H69" s="15"/>
      <c r="I69" s="74"/>
      <c r="J69" s="74"/>
      <c r="K69" s="74"/>
      <c r="L69" s="74"/>
      <c r="M69" s="74"/>
      <c r="N69" s="74"/>
      <c r="O69" s="75"/>
      <c r="P69" s="75"/>
      <c r="Q69" s="76"/>
      <c r="R69" s="76"/>
    </row>
    <row r="70" spans="2:18" ht="12">
      <c r="B70" s="66"/>
      <c r="C70" s="71" t="s">
        <v>144</v>
      </c>
      <c r="D70" s="74"/>
      <c r="E70" s="74"/>
      <c r="F70" s="74"/>
      <c r="G70" s="74"/>
      <c r="H70" s="15"/>
      <c r="I70" s="74">
        <v>1</v>
      </c>
      <c r="J70" s="74">
        <v>1</v>
      </c>
      <c r="K70" s="74"/>
      <c r="L70" s="74"/>
      <c r="M70" s="74"/>
      <c r="N70" s="74"/>
      <c r="O70" s="75"/>
      <c r="P70" s="75"/>
      <c r="Q70" s="76"/>
      <c r="R70" s="76"/>
    </row>
    <row r="71" spans="2:18" ht="12">
      <c r="B71" s="66"/>
      <c r="C71" s="71" t="s">
        <v>145</v>
      </c>
      <c r="D71" s="74"/>
      <c r="E71" s="74"/>
      <c r="F71" s="74"/>
      <c r="G71" s="74"/>
      <c r="H71" s="15"/>
      <c r="I71" s="74"/>
      <c r="J71" s="74"/>
      <c r="K71" s="74"/>
      <c r="L71" s="74"/>
      <c r="M71" s="74"/>
      <c r="N71" s="74"/>
      <c r="O71" s="75">
        <v>1</v>
      </c>
      <c r="P71" s="75"/>
      <c r="Q71" s="76"/>
      <c r="R71" s="76"/>
    </row>
    <row r="72" spans="2:18" ht="12">
      <c r="B72" s="66"/>
      <c r="C72" s="71" t="s">
        <v>148</v>
      </c>
      <c r="D72" s="74">
        <v>2</v>
      </c>
      <c r="E72" s="87">
        <v>3</v>
      </c>
      <c r="F72" s="87">
        <v>3</v>
      </c>
      <c r="G72" s="87">
        <v>3</v>
      </c>
      <c r="H72" s="89">
        <v>3</v>
      </c>
      <c r="I72" s="87">
        <v>3</v>
      </c>
      <c r="J72" s="77" t="s">
        <v>222</v>
      </c>
      <c r="K72" s="74">
        <v>2</v>
      </c>
      <c r="L72" s="74">
        <v>2</v>
      </c>
      <c r="M72" s="87">
        <v>1</v>
      </c>
      <c r="N72" s="74">
        <v>1</v>
      </c>
      <c r="O72" s="75"/>
      <c r="P72" s="75"/>
      <c r="Q72" s="76"/>
      <c r="R72" s="76"/>
    </row>
    <row r="73" spans="2:18">
      <c r="B73" s="66"/>
      <c r="C73" s="62" t="s">
        <v>195</v>
      </c>
      <c r="D73" s="74"/>
      <c r="E73" s="74"/>
      <c r="F73" s="74">
        <v>1</v>
      </c>
      <c r="G73" s="74"/>
      <c r="H73" s="15"/>
      <c r="I73" s="74"/>
      <c r="J73" s="74"/>
      <c r="K73" s="74"/>
      <c r="L73" s="74"/>
      <c r="M73" s="87">
        <v>1</v>
      </c>
      <c r="N73" s="74">
        <v>1</v>
      </c>
      <c r="O73" s="75">
        <v>1</v>
      </c>
      <c r="P73" s="75"/>
      <c r="Q73" s="76"/>
      <c r="R73" s="76"/>
    </row>
    <row r="74" spans="2:18">
      <c r="B74" s="66"/>
      <c r="C74" s="62" t="s">
        <v>196</v>
      </c>
      <c r="D74" s="74"/>
      <c r="E74" s="74"/>
      <c r="F74" s="74"/>
      <c r="G74" s="74"/>
      <c r="H74" s="15"/>
      <c r="I74" s="74"/>
      <c r="J74" s="74"/>
      <c r="K74" s="74"/>
      <c r="L74" s="74"/>
      <c r="M74" s="74"/>
      <c r="N74" s="74"/>
      <c r="O74" s="75">
        <v>1</v>
      </c>
      <c r="P74" s="75"/>
      <c r="Q74" s="76"/>
      <c r="R74" s="76"/>
    </row>
    <row r="75" spans="2:18">
      <c r="B75" s="66"/>
      <c r="C75" s="62" t="s">
        <v>197</v>
      </c>
      <c r="D75" s="74"/>
      <c r="E75" s="74"/>
      <c r="F75" s="74"/>
      <c r="G75" s="74"/>
      <c r="H75" s="15"/>
      <c r="I75" s="74"/>
      <c r="J75" s="74"/>
      <c r="K75" s="74"/>
      <c r="L75" s="74"/>
      <c r="M75" s="74"/>
      <c r="N75" s="74"/>
      <c r="O75" s="75">
        <v>1</v>
      </c>
      <c r="P75" s="75"/>
      <c r="Q75" s="76"/>
      <c r="R75" s="76"/>
    </row>
    <row r="76" spans="2:18">
      <c r="B76" s="66"/>
      <c r="C76" s="62" t="s">
        <v>198</v>
      </c>
      <c r="D76" s="74">
        <v>1</v>
      </c>
      <c r="E76" s="74"/>
      <c r="F76" s="74"/>
      <c r="G76" s="74"/>
      <c r="H76" s="15"/>
      <c r="I76" s="74"/>
      <c r="J76" s="74"/>
      <c r="K76" s="74"/>
      <c r="L76" s="74"/>
      <c r="M76" s="74"/>
      <c r="N76" s="74"/>
      <c r="O76" s="75">
        <v>1</v>
      </c>
      <c r="P76" s="75"/>
      <c r="Q76" s="76"/>
      <c r="R76" s="76"/>
    </row>
    <row r="77" spans="2:18">
      <c r="B77" s="66"/>
      <c r="C77" s="64" t="s">
        <v>120</v>
      </c>
      <c r="D77" s="74">
        <v>1</v>
      </c>
      <c r="E77" s="74"/>
      <c r="F77" s="74"/>
      <c r="G77" s="74">
        <v>1</v>
      </c>
      <c r="H77" s="15"/>
      <c r="I77" s="74"/>
      <c r="J77" s="74"/>
      <c r="K77" s="74"/>
      <c r="L77" s="74"/>
      <c r="M77" s="74"/>
      <c r="N77" s="74"/>
      <c r="O77" s="75"/>
      <c r="P77" s="75"/>
      <c r="Q77" s="76"/>
      <c r="R77" s="76"/>
    </row>
    <row r="78" spans="2:18">
      <c r="B78" s="67"/>
      <c r="C78" s="64" t="s">
        <v>175</v>
      </c>
      <c r="D78" s="74"/>
      <c r="E78" s="74"/>
      <c r="F78" s="74">
        <v>1</v>
      </c>
      <c r="G78" s="74">
        <v>1</v>
      </c>
      <c r="H78" s="15">
        <v>1</v>
      </c>
      <c r="I78" s="74"/>
      <c r="J78" s="74"/>
      <c r="K78" s="74"/>
      <c r="L78" s="74"/>
      <c r="M78" s="74"/>
      <c r="N78" s="74"/>
      <c r="O78" s="75"/>
      <c r="P78" s="75"/>
      <c r="Q78" s="76"/>
      <c r="R78" s="76"/>
    </row>
    <row r="79" spans="2:18">
      <c r="D79" s="76"/>
      <c r="E79" s="76"/>
      <c r="F79" s="76"/>
      <c r="G79" s="76"/>
      <c r="H79" s="76"/>
      <c r="I79" s="76"/>
      <c r="J79" s="76"/>
      <c r="K79" s="76"/>
      <c r="L79" s="76"/>
      <c r="M79" s="76"/>
      <c r="N79" s="76"/>
      <c r="O79" s="76"/>
      <c r="P79" s="76"/>
      <c r="Q79" s="76"/>
      <c r="R79" s="76"/>
    </row>
    <row r="80" spans="2:18">
      <c r="B80" s="327" t="s">
        <v>36</v>
      </c>
      <c r="C80" s="37" t="s">
        <v>35</v>
      </c>
      <c r="D80" s="336" t="s">
        <v>74</v>
      </c>
      <c r="E80" s="337"/>
      <c r="F80" s="337"/>
      <c r="G80" s="337"/>
      <c r="H80" s="337"/>
      <c r="I80" s="337"/>
      <c r="J80" s="337"/>
      <c r="K80" s="337"/>
      <c r="L80" s="337"/>
      <c r="M80" s="337"/>
      <c r="N80" s="337"/>
      <c r="O80" s="337"/>
      <c r="P80" s="337"/>
      <c r="Q80" s="337"/>
      <c r="R80" s="338"/>
    </row>
    <row r="81" spans="2:18">
      <c r="B81" s="327"/>
      <c r="C81" s="37" t="s">
        <v>30</v>
      </c>
      <c r="D81" s="74" t="s">
        <v>143</v>
      </c>
      <c r="E81" s="77" t="s">
        <v>178</v>
      </c>
      <c r="F81" s="74" t="s">
        <v>162</v>
      </c>
      <c r="G81" s="74" t="s">
        <v>163</v>
      </c>
      <c r="H81" s="74" t="s">
        <v>199</v>
      </c>
      <c r="I81" s="74" t="s">
        <v>179</v>
      </c>
      <c r="J81" s="74" t="s">
        <v>180</v>
      </c>
      <c r="K81" s="74" t="s">
        <v>181</v>
      </c>
      <c r="L81" s="74" t="s">
        <v>182</v>
      </c>
      <c r="M81" s="74" t="s">
        <v>183</v>
      </c>
      <c r="N81" s="78" t="s">
        <v>184</v>
      </c>
      <c r="O81" s="78" t="s">
        <v>185</v>
      </c>
      <c r="P81" s="90" t="s">
        <v>186</v>
      </c>
      <c r="Q81" s="90" t="s">
        <v>200</v>
      </c>
      <c r="R81" s="90" t="s">
        <v>201</v>
      </c>
    </row>
    <row r="82" spans="2:18">
      <c r="B82" s="37" t="s">
        <v>29</v>
      </c>
      <c r="C82" s="37" t="s">
        <v>77</v>
      </c>
      <c r="D82" s="74">
        <v>2</v>
      </c>
      <c r="E82" s="74">
        <v>2</v>
      </c>
      <c r="F82" s="74">
        <v>4.2</v>
      </c>
      <c r="G82" s="74">
        <v>4.2</v>
      </c>
      <c r="H82" s="74">
        <v>5.9</v>
      </c>
      <c r="I82" s="74">
        <v>5.9</v>
      </c>
      <c r="J82" s="74">
        <v>5.9</v>
      </c>
      <c r="K82" s="74">
        <v>6.7</v>
      </c>
      <c r="L82" s="74">
        <v>6.7</v>
      </c>
      <c r="M82" s="74">
        <v>7.25</v>
      </c>
      <c r="N82" s="75">
        <v>7.25</v>
      </c>
      <c r="O82" s="75">
        <v>7.65</v>
      </c>
      <c r="P82" s="75">
        <v>7.8</v>
      </c>
      <c r="Q82" s="88"/>
      <c r="R82" s="88"/>
    </row>
    <row r="83" spans="2:18">
      <c r="B83" s="327" t="s">
        <v>40</v>
      </c>
      <c r="C83" s="62" t="s">
        <v>217</v>
      </c>
      <c r="D83" s="74"/>
      <c r="E83" s="74"/>
      <c r="F83" s="74"/>
      <c r="G83" s="74"/>
      <c r="H83" s="74"/>
      <c r="I83" s="74"/>
      <c r="J83" s="74">
        <v>1</v>
      </c>
      <c r="K83" s="74"/>
      <c r="L83" s="74">
        <v>1</v>
      </c>
      <c r="M83" s="74"/>
      <c r="N83" s="75"/>
      <c r="O83" s="75"/>
      <c r="P83" s="75"/>
      <c r="Q83" s="88"/>
      <c r="R83" s="88"/>
    </row>
    <row r="84" spans="2:18">
      <c r="B84" s="327"/>
      <c r="C84" s="62" t="s">
        <v>82</v>
      </c>
      <c r="D84" s="74"/>
      <c r="E84" s="74"/>
      <c r="F84" s="74"/>
      <c r="G84" s="74"/>
      <c r="H84" s="74"/>
      <c r="I84" s="74"/>
      <c r="J84" s="74"/>
      <c r="K84" s="74"/>
      <c r="L84" s="74"/>
      <c r="M84" s="74">
        <v>1</v>
      </c>
      <c r="N84" s="75"/>
      <c r="O84" s="75"/>
      <c r="P84" s="75">
        <v>1</v>
      </c>
      <c r="Q84" s="88">
        <v>1</v>
      </c>
      <c r="R84" s="88">
        <v>1</v>
      </c>
    </row>
    <row r="85" spans="2:18">
      <c r="B85" s="327"/>
      <c r="C85" s="62" t="s">
        <v>187</v>
      </c>
      <c r="D85" s="74"/>
      <c r="E85" s="74"/>
      <c r="F85" s="74"/>
      <c r="G85" s="74"/>
      <c r="H85" s="74"/>
      <c r="I85" s="74"/>
      <c r="J85" s="74"/>
      <c r="K85" s="74"/>
      <c r="L85" s="74">
        <v>1</v>
      </c>
      <c r="M85" s="74">
        <v>1</v>
      </c>
      <c r="N85" s="75">
        <v>1</v>
      </c>
      <c r="O85" s="75"/>
      <c r="P85" s="75"/>
      <c r="Q85" s="88"/>
      <c r="R85" s="88"/>
    </row>
    <row r="86" spans="2:18">
      <c r="B86" s="327"/>
      <c r="C86" s="62" t="s">
        <v>189</v>
      </c>
      <c r="D86" s="74"/>
      <c r="E86" s="74"/>
      <c r="F86" s="74"/>
      <c r="G86" s="74"/>
      <c r="H86" s="74"/>
      <c r="I86" s="74">
        <v>1</v>
      </c>
      <c r="J86" s="74"/>
      <c r="K86" s="74"/>
      <c r="L86" s="74"/>
      <c r="M86" s="74"/>
      <c r="N86" s="75">
        <v>1</v>
      </c>
      <c r="O86" s="75"/>
      <c r="P86" s="75"/>
      <c r="Q86" s="88"/>
      <c r="R86" s="88"/>
    </row>
    <row r="87" spans="2:18">
      <c r="B87" s="327"/>
      <c r="C87" s="62" t="s">
        <v>80</v>
      </c>
      <c r="D87" s="74"/>
      <c r="E87" s="74"/>
      <c r="F87" s="74"/>
      <c r="G87" s="74">
        <v>1</v>
      </c>
      <c r="H87" s="74">
        <v>1</v>
      </c>
      <c r="I87" s="74">
        <v>1</v>
      </c>
      <c r="J87" s="74">
        <v>1</v>
      </c>
      <c r="K87" s="74">
        <v>1</v>
      </c>
      <c r="L87" s="74">
        <v>1</v>
      </c>
      <c r="M87" s="74">
        <v>1</v>
      </c>
      <c r="N87" s="75">
        <v>1</v>
      </c>
      <c r="O87" s="75">
        <v>1</v>
      </c>
      <c r="P87" s="75">
        <v>1</v>
      </c>
      <c r="Q87" s="88">
        <v>1</v>
      </c>
      <c r="R87" s="88">
        <v>1</v>
      </c>
    </row>
    <row r="88" spans="2:18">
      <c r="B88" s="65" t="s">
        <v>39</v>
      </c>
      <c r="C88" s="18" t="s">
        <v>202</v>
      </c>
      <c r="D88" s="74"/>
      <c r="E88" s="74"/>
      <c r="F88" s="74"/>
      <c r="G88" s="74"/>
      <c r="H88" s="79"/>
      <c r="I88" s="79"/>
      <c r="J88" s="79"/>
      <c r="K88" s="74"/>
      <c r="L88" s="74"/>
      <c r="M88" s="74"/>
      <c r="N88" s="75"/>
      <c r="O88" s="75">
        <v>1</v>
      </c>
      <c r="P88" s="88">
        <v>1</v>
      </c>
      <c r="Q88" s="88">
        <v>1</v>
      </c>
      <c r="R88" s="88">
        <v>1</v>
      </c>
    </row>
    <row r="89" spans="2:18">
      <c r="B89" s="66"/>
      <c r="C89" s="18" t="s">
        <v>203</v>
      </c>
      <c r="D89" s="74">
        <v>1</v>
      </c>
      <c r="E89" s="74">
        <v>1</v>
      </c>
      <c r="F89" s="74">
        <v>1</v>
      </c>
      <c r="G89" s="74">
        <v>1</v>
      </c>
      <c r="H89" s="74">
        <v>1</v>
      </c>
      <c r="I89" s="74">
        <v>1</v>
      </c>
      <c r="J89" s="87">
        <v>2</v>
      </c>
      <c r="K89" s="87">
        <v>2</v>
      </c>
      <c r="L89" s="87">
        <v>2</v>
      </c>
      <c r="M89" s="87">
        <v>2</v>
      </c>
      <c r="N89" s="75">
        <v>1</v>
      </c>
      <c r="O89" s="75">
        <v>1</v>
      </c>
      <c r="P89" s="75"/>
      <c r="Q89" s="88"/>
      <c r="R89" s="88">
        <v>1</v>
      </c>
    </row>
    <row r="90" spans="2:18" ht="12">
      <c r="B90" s="66"/>
      <c r="C90" s="71" t="s">
        <v>136</v>
      </c>
      <c r="D90" s="74"/>
      <c r="E90" s="74"/>
      <c r="F90" s="74"/>
      <c r="G90" s="74"/>
      <c r="H90" s="74"/>
      <c r="I90" s="74"/>
      <c r="J90" s="74"/>
      <c r="K90" s="74"/>
      <c r="L90" s="74"/>
      <c r="M90" s="74"/>
      <c r="N90" s="75">
        <v>1</v>
      </c>
      <c r="O90" s="75"/>
      <c r="P90" s="75">
        <v>1</v>
      </c>
      <c r="Q90" s="88">
        <v>1</v>
      </c>
      <c r="R90" s="88"/>
    </row>
    <row r="91" spans="2:18" ht="12">
      <c r="B91" s="66"/>
      <c r="C91" s="71" t="s">
        <v>137</v>
      </c>
      <c r="D91" s="74">
        <v>1</v>
      </c>
      <c r="E91" s="74">
        <v>1</v>
      </c>
      <c r="F91" s="74">
        <v>1</v>
      </c>
      <c r="G91" s="74">
        <v>1</v>
      </c>
      <c r="H91" s="74">
        <v>1</v>
      </c>
      <c r="I91" s="74">
        <v>1</v>
      </c>
      <c r="J91" s="74">
        <v>1</v>
      </c>
      <c r="K91" s="74">
        <v>1</v>
      </c>
      <c r="L91" s="74">
        <v>1</v>
      </c>
      <c r="M91" s="74">
        <v>1</v>
      </c>
      <c r="N91" s="75">
        <v>1</v>
      </c>
      <c r="O91" s="75">
        <v>1</v>
      </c>
      <c r="P91" s="75">
        <v>1</v>
      </c>
      <c r="Q91" s="88">
        <v>1</v>
      </c>
      <c r="R91" s="88">
        <v>1</v>
      </c>
    </row>
    <row r="92" spans="2:18">
      <c r="B92" s="66"/>
      <c r="C92" s="18" t="s">
        <v>204</v>
      </c>
      <c r="D92" s="74"/>
      <c r="E92" s="74"/>
      <c r="F92" s="74">
        <v>1</v>
      </c>
      <c r="G92" s="74">
        <v>1</v>
      </c>
      <c r="H92" s="74">
        <v>1</v>
      </c>
      <c r="I92" s="192">
        <v>2</v>
      </c>
      <c r="J92" s="192">
        <v>2</v>
      </c>
      <c r="K92" s="192">
        <v>2</v>
      </c>
      <c r="L92" s="192">
        <v>2</v>
      </c>
      <c r="M92" s="192">
        <v>2</v>
      </c>
      <c r="N92" s="75">
        <v>1</v>
      </c>
      <c r="O92" s="75">
        <v>1</v>
      </c>
      <c r="P92" s="75">
        <v>1</v>
      </c>
      <c r="Q92" s="88"/>
      <c r="R92" s="88"/>
    </row>
    <row r="93" spans="2:18">
      <c r="B93" s="66"/>
      <c r="C93" s="18" t="s">
        <v>205</v>
      </c>
      <c r="D93" s="74"/>
      <c r="E93" s="74"/>
      <c r="F93" s="74"/>
      <c r="G93" s="74">
        <v>1</v>
      </c>
      <c r="H93" s="74">
        <v>1</v>
      </c>
      <c r="I93" s="74">
        <v>1</v>
      </c>
      <c r="J93" s="74">
        <v>1</v>
      </c>
      <c r="K93" s="74">
        <v>1</v>
      </c>
      <c r="L93" s="74">
        <v>1</v>
      </c>
      <c r="M93" s="74">
        <v>1</v>
      </c>
      <c r="N93" s="75">
        <v>1</v>
      </c>
      <c r="O93" s="222">
        <v>2</v>
      </c>
      <c r="P93" s="75">
        <v>1</v>
      </c>
      <c r="Q93" s="88"/>
      <c r="R93" s="88"/>
    </row>
    <row r="94" spans="2:18">
      <c r="B94" s="66"/>
      <c r="C94" s="18" t="s">
        <v>99</v>
      </c>
      <c r="D94" s="74"/>
      <c r="E94" s="74"/>
      <c r="F94" s="74"/>
      <c r="G94" s="74"/>
      <c r="H94" s="74"/>
      <c r="I94" s="74"/>
      <c r="J94" s="74"/>
      <c r="K94" s="74"/>
      <c r="L94" s="74"/>
      <c r="M94" s="74"/>
      <c r="N94" s="75"/>
      <c r="O94" s="75"/>
      <c r="P94" s="75">
        <v>1</v>
      </c>
      <c r="Q94" s="88"/>
      <c r="R94" s="88"/>
    </row>
    <row r="95" spans="2:18">
      <c r="B95" s="66"/>
      <c r="C95" s="18" t="s">
        <v>192</v>
      </c>
      <c r="D95" s="74"/>
      <c r="E95" s="74"/>
      <c r="F95" s="74">
        <v>1</v>
      </c>
      <c r="G95" s="74">
        <v>1</v>
      </c>
      <c r="H95" s="74">
        <v>1</v>
      </c>
      <c r="I95" s="74">
        <v>1</v>
      </c>
      <c r="J95" s="74">
        <v>1</v>
      </c>
      <c r="K95" s="74">
        <v>1</v>
      </c>
      <c r="L95" s="74">
        <v>1</v>
      </c>
      <c r="M95" s="74">
        <v>1</v>
      </c>
      <c r="N95" s="222">
        <v>2</v>
      </c>
      <c r="O95" s="223">
        <v>2</v>
      </c>
      <c r="P95" s="75">
        <v>1</v>
      </c>
      <c r="Q95" s="88"/>
      <c r="R95" s="88"/>
    </row>
    <row r="96" spans="2:18">
      <c r="B96" s="66"/>
      <c r="C96" s="18" t="s">
        <v>193</v>
      </c>
      <c r="D96" s="74">
        <v>1</v>
      </c>
      <c r="E96" s="74">
        <v>1</v>
      </c>
      <c r="F96" s="74">
        <v>1</v>
      </c>
      <c r="G96" s="74">
        <v>1</v>
      </c>
      <c r="H96" s="74">
        <v>1</v>
      </c>
      <c r="I96" s="74">
        <v>1</v>
      </c>
      <c r="J96" s="74">
        <v>1</v>
      </c>
      <c r="K96" s="74">
        <v>1</v>
      </c>
      <c r="L96" s="74">
        <v>1</v>
      </c>
      <c r="M96" s="74">
        <v>1</v>
      </c>
      <c r="N96" s="75">
        <v>1</v>
      </c>
      <c r="O96" s="75">
        <v>1</v>
      </c>
      <c r="P96" s="75">
        <v>1</v>
      </c>
      <c r="Q96" s="88"/>
      <c r="R96" s="88"/>
    </row>
    <row r="97" spans="2:37">
      <c r="B97" s="66"/>
      <c r="C97" s="18" t="s">
        <v>206</v>
      </c>
      <c r="D97" s="192">
        <v>3</v>
      </c>
      <c r="E97" s="74">
        <v>2</v>
      </c>
      <c r="F97" s="74">
        <v>1</v>
      </c>
      <c r="G97" s="74">
        <v>1</v>
      </c>
      <c r="H97" s="74">
        <v>1</v>
      </c>
      <c r="I97" s="74">
        <v>1</v>
      </c>
      <c r="J97" s="74">
        <v>1</v>
      </c>
      <c r="K97" s="74"/>
      <c r="L97" s="74">
        <v>1</v>
      </c>
      <c r="M97" s="74"/>
      <c r="N97" s="75"/>
      <c r="O97" s="75"/>
      <c r="P97" s="75">
        <v>1</v>
      </c>
      <c r="Q97" s="88"/>
      <c r="R97" s="88"/>
    </row>
    <row r="98" spans="2:37">
      <c r="B98" s="67"/>
      <c r="C98" s="18" t="s">
        <v>207</v>
      </c>
      <c r="D98" s="74">
        <v>1</v>
      </c>
      <c r="E98" s="192">
        <v>3</v>
      </c>
      <c r="F98" s="192">
        <v>3</v>
      </c>
      <c r="G98" s="74">
        <v>1</v>
      </c>
      <c r="H98" s="74">
        <v>1</v>
      </c>
      <c r="I98" s="74">
        <v>1</v>
      </c>
      <c r="J98" s="74">
        <v>1</v>
      </c>
      <c r="K98" s="74">
        <v>1</v>
      </c>
      <c r="L98" s="74">
        <v>1</v>
      </c>
      <c r="M98" s="74">
        <v>1</v>
      </c>
      <c r="N98" s="75">
        <v>1</v>
      </c>
      <c r="O98" s="75"/>
      <c r="P98" s="75"/>
      <c r="Q98" s="88"/>
      <c r="R98" s="88"/>
    </row>
    <row r="99" spans="2:37" ht="12">
      <c r="B99" s="324" t="s">
        <v>38</v>
      </c>
      <c r="C99" s="71" t="s">
        <v>144</v>
      </c>
      <c r="D99" s="74"/>
      <c r="E99" s="74"/>
      <c r="F99" s="74"/>
      <c r="G99" s="74"/>
      <c r="H99" s="74"/>
      <c r="I99" s="74"/>
      <c r="J99" s="74"/>
      <c r="K99" s="74"/>
      <c r="L99" s="74"/>
      <c r="M99" s="74"/>
      <c r="N99" s="75">
        <v>1</v>
      </c>
      <c r="O99" s="75"/>
      <c r="P99" s="75"/>
      <c r="Q99" s="88"/>
      <c r="R99" s="88"/>
    </row>
    <row r="100" spans="2:37" ht="12">
      <c r="B100" s="325"/>
      <c r="C100" s="71" t="s">
        <v>145</v>
      </c>
      <c r="D100" s="74"/>
      <c r="E100" s="74"/>
      <c r="F100" s="74"/>
      <c r="G100" s="74"/>
      <c r="H100" s="74"/>
      <c r="I100" s="74"/>
      <c r="J100" s="74"/>
      <c r="K100" s="74"/>
      <c r="L100" s="74"/>
      <c r="M100" s="74"/>
      <c r="N100" s="75"/>
      <c r="O100" s="75"/>
      <c r="P100" s="75">
        <v>1</v>
      </c>
      <c r="Q100" s="88"/>
      <c r="R100" s="88"/>
    </row>
    <row r="101" spans="2:37" ht="12">
      <c r="B101" s="325"/>
      <c r="C101" s="71" t="s">
        <v>148</v>
      </c>
      <c r="D101" s="74">
        <v>1</v>
      </c>
      <c r="E101" s="74">
        <v>1</v>
      </c>
      <c r="F101" s="74">
        <v>2</v>
      </c>
      <c r="G101" s="87">
        <v>2</v>
      </c>
      <c r="H101" s="87">
        <v>2</v>
      </c>
      <c r="I101" s="74">
        <v>1</v>
      </c>
      <c r="J101" s="74">
        <v>1</v>
      </c>
      <c r="K101" s="74">
        <v>1</v>
      </c>
      <c r="L101" s="74">
        <v>1</v>
      </c>
      <c r="M101" s="74">
        <v>1</v>
      </c>
      <c r="N101" s="75">
        <v>1</v>
      </c>
      <c r="O101" s="75">
        <v>1</v>
      </c>
      <c r="P101" s="75">
        <v>1</v>
      </c>
      <c r="Q101" s="88">
        <v>1</v>
      </c>
      <c r="R101" s="88">
        <v>1</v>
      </c>
    </row>
    <row r="102" spans="2:37">
      <c r="B102" s="325"/>
      <c r="C102" s="18" t="s">
        <v>208</v>
      </c>
      <c r="D102" s="74">
        <v>1</v>
      </c>
      <c r="E102" s="74"/>
      <c r="F102" s="74"/>
      <c r="G102" s="74"/>
      <c r="H102" s="74"/>
      <c r="I102" s="74"/>
      <c r="J102" s="74"/>
      <c r="K102" s="74"/>
      <c r="L102" s="74"/>
      <c r="M102" s="74"/>
      <c r="N102" s="75"/>
      <c r="O102" s="75"/>
      <c r="P102" s="75">
        <v>1</v>
      </c>
      <c r="Q102" s="88"/>
      <c r="R102" s="88"/>
    </row>
    <row r="103" spans="2:37">
      <c r="B103" s="325"/>
      <c r="C103" s="18" t="s">
        <v>196</v>
      </c>
      <c r="D103" s="74"/>
      <c r="E103" s="74"/>
      <c r="F103" s="74"/>
      <c r="G103" s="74"/>
      <c r="H103" s="74"/>
      <c r="I103" s="74"/>
      <c r="J103" s="74"/>
      <c r="K103" s="74"/>
      <c r="L103" s="74">
        <v>1</v>
      </c>
      <c r="M103" s="74"/>
      <c r="N103" s="75"/>
      <c r="O103" s="75"/>
      <c r="P103" s="75">
        <v>1</v>
      </c>
      <c r="Q103" s="88"/>
      <c r="R103" s="88"/>
    </row>
    <row r="104" spans="2:37">
      <c r="B104" s="325"/>
      <c r="C104" s="18" t="s">
        <v>197</v>
      </c>
      <c r="D104" s="74"/>
      <c r="E104" s="74">
        <v>1</v>
      </c>
      <c r="F104" s="74"/>
      <c r="G104" s="74"/>
      <c r="H104" s="74"/>
      <c r="I104" s="74"/>
      <c r="J104" s="74"/>
      <c r="K104" s="74"/>
      <c r="L104" s="74"/>
      <c r="M104" s="74"/>
      <c r="N104" s="75"/>
      <c r="O104" s="75"/>
      <c r="P104" s="75"/>
      <c r="Q104" s="88"/>
      <c r="R104" s="88"/>
    </row>
    <row r="105" spans="2:37">
      <c r="B105" s="325"/>
      <c r="C105" s="18" t="s">
        <v>198</v>
      </c>
      <c r="D105" s="74"/>
      <c r="E105" s="74"/>
      <c r="F105" s="74"/>
      <c r="G105" s="74"/>
      <c r="H105" s="74"/>
      <c r="I105" s="74"/>
      <c r="J105" s="74"/>
      <c r="K105" s="74"/>
      <c r="L105" s="74">
        <v>1</v>
      </c>
      <c r="M105" s="74"/>
      <c r="N105" s="75"/>
      <c r="O105" s="75"/>
      <c r="P105" s="75">
        <v>1</v>
      </c>
      <c r="Q105" s="88"/>
      <c r="R105" s="88"/>
    </row>
    <row r="106" spans="2:37">
      <c r="B106" s="325"/>
      <c r="C106" s="18" t="s">
        <v>128</v>
      </c>
      <c r="D106" s="74"/>
      <c r="E106" s="74"/>
      <c r="F106" s="74"/>
      <c r="G106" s="74"/>
      <c r="H106" s="74"/>
      <c r="I106" s="74"/>
      <c r="J106" s="74"/>
      <c r="K106" s="74"/>
      <c r="L106" s="74"/>
      <c r="M106" s="74"/>
      <c r="N106" s="75"/>
      <c r="O106" s="75">
        <v>1</v>
      </c>
      <c r="P106" s="75"/>
      <c r="Q106" s="88"/>
      <c r="R106" s="88"/>
    </row>
    <row r="107" spans="2:37">
      <c r="B107" s="325"/>
      <c r="C107" s="18" t="s">
        <v>120</v>
      </c>
      <c r="D107" s="74"/>
      <c r="E107" s="74"/>
      <c r="F107" s="74"/>
      <c r="G107" s="74"/>
      <c r="H107" s="74"/>
      <c r="I107" s="74">
        <v>1</v>
      </c>
      <c r="J107" s="74"/>
      <c r="K107" s="74"/>
      <c r="L107" s="74"/>
      <c r="M107" s="74">
        <v>1</v>
      </c>
      <c r="N107" s="75">
        <v>1</v>
      </c>
      <c r="O107" s="75">
        <v>1</v>
      </c>
      <c r="P107" s="75"/>
      <c r="Q107" s="88">
        <v>1</v>
      </c>
      <c r="R107" s="88">
        <v>1</v>
      </c>
    </row>
    <row r="108" spans="2:37">
      <c r="B108" s="325"/>
      <c r="C108" s="18" t="s">
        <v>123</v>
      </c>
      <c r="D108" s="74"/>
      <c r="E108" s="74"/>
      <c r="F108" s="74"/>
      <c r="G108" s="74"/>
      <c r="H108" s="74"/>
      <c r="I108" s="74"/>
      <c r="J108" s="74"/>
      <c r="K108" s="74"/>
      <c r="L108" s="74"/>
      <c r="M108" s="74"/>
      <c r="N108" s="75"/>
      <c r="O108" s="75"/>
      <c r="P108" s="75">
        <v>1</v>
      </c>
      <c r="Q108" s="88">
        <v>1</v>
      </c>
      <c r="R108" s="88"/>
    </row>
    <row r="109" spans="2:37">
      <c r="B109" s="326"/>
      <c r="C109" s="18" t="s">
        <v>175</v>
      </c>
      <c r="D109" s="74"/>
      <c r="E109" s="74"/>
      <c r="F109" s="74"/>
      <c r="G109" s="74"/>
      <c r="H109" s="74"/>
      <c r="I109" s="74"/>
      <c r="J109" s="74"/>
      <c r="K109" s="74"/>
      <c r="L109" s="74"/>
      <c r="M109" s="74"/>
      <c r="N109" s="75"/>
      <c r="O109" s="75"/>
      <c r="P109" s="75">
        <v>1</v>
      </c>
      <c r="Q109" s="88"/>
      <c r="R109" s="88"/>
    </row>
    <row r="110" spans="2:37">
      <c r="D110" s="76"/>
      <c r="E110" s="76"/>
      <c r="F110" s="76"/>
      <c r="G110" s="76"/>
      <c r="H110" s="76"/>
      <c r="I110" s="76"/>
      <c r="J110" s="76"/>
      <c r="K110" s="76"/>
      <c r="L110" s="76"/>
      <c r="M110" s="76"/>
      <c r="N110" s="76"/>
      <c r="O110" s="76"/>
      <c r="P110" s="76"/>
      <c r="Q110" s="76"/>
      <c r="R110" s="76"/>
    </row>
    <row r="111" spans="2:37">
      <c r="B111" s="324" t="s">
        <v>36</v>
      </c>
      <c r="C111" s="37" t="s">
        <v>35</v>
      </c>
      <c r="D111" s="336" t="s">
        <v>75</v>
      </c>
      <c r="E111" s="337"/>
      <c r="F111" s="337"/>
      <c r="G111" s="337"/>
      <c r="H111" s="337"/>
      <c r="I111" s="337"/>
      <c r="J111" s="337"/>
      <c r="K111" s="337"/>
      <c r="L111" s="337"/>
      <c r="M111" s="338"/>
      <c r="N111" s="76"/>
      <c r="O111" s="76"/>
      <c r="P111" s="76"/>
      <c r="Q111" s="76"/>
      <c r="R111" s="76"/>
    </row>
    <row r="112" spans="2:37" ht="10.95" customHeight="1">
      <c r="B112" s="326"/>
      <c r="C112" s="37" t="s">
        <v>30</v>
      </c>
      <c r="D112" s="74" t="s">
        <v>143</v>
      </c>
      <c r="E112" s="77" t="s">
        <v>178</v>
      </c>
      <c r="F112" s="74" t="s">
        <v>162</v>
      </c>
      <c r="G112" s="74" t="s">
        <v>163</v>
      </c>
      <c r="H112" s="74" t="s">
        <v>199</v>
      </c>
      <c r="I112" s="74" t="s">
        <v>179</v>
      </c>
      <c r="J112" s="79" t="s">
        <v>180</v>
      </c>
      <c r="K112" s="79" t="s">
        <v>181</v>
      </c>
      <c r="L112" s="79" t="s">
        <v>215</v>
      </c>
      <c r="M112" s="79" t="s">
        <v>200</v>
      </c>
      <c r="N112" s="76"/>
      <c r="O112" s="76"/>
      <c r="P112" s="76"/>
      <c r="Q112" s="76"/>
      <c r="R112" s="76"/>
      <c r="AK112" s="1"/>
    </row>
    <row r="113" spans="2:37">
      <c r="B113" s="17" t="s">
        <v>29</v>
      </c>
      <c r="C113" s="37" t="s">
        <v>77</v>
      </c>
      <c r="D113" s="74">
        <v>1.3</v>
      </c>
      <c r="E113" s="74">
        <v>3.15</v>
      </c>
      <c r="F113" s="74">
        <v>3.15</v>
      </c>
      <c r="G113" s="74">
        <v>8.4</v>
      </c>
      <c r="H113" s="74">
        <v>8.4</v>
      </c>
      <c r="I113" s="74">
        <v>11.8</v>
      </c>
      <c r="J113" s="79"/>
      <c r="K113" s="79"/>
      <c r="L113" s="79"/>
      <c r="M113" s="79"/>
      <c r="N113" s="76"/>
      <c r="O113" s="76"/>
      <c r="P113" s="76"/>
      <c r="Q113" s="76"/>
      <c r="R113" s="76"/>
      <c r="AC113" s="1"/>
      <c r="AD113" s="1"/>
      <c r="AE113" s="1"/>
      <c r="AF113" s="1"/>
      <c r="AG113" s="1"/>
      <c r="AH113" s="1"/>
      <c r="AI113" s="1"/>
      <c r="AJ113" s="1"/>
    </row>
    <row r="114" spans="2:37">
      <c r="B114" s="324" t="s">
        <v>40</v>
      </c>
      <c r="C114" s="62" t="s">
        <v>187</v>
      </c>
      <c r="D114" s="74"/>
      <c r="E114" s="74"/>
      <c r="F114" s="74"/>
      <c r="G114" s="74"/>
      <c r="H114" s="74"/>
      <c r="I114" s="74"/>
      <c r="J114" s="79"/>
      <c r="K114" s="79">
        <v>1</v>
      </c>
      <c r="L114" s="79"/>
      <c r="M114" s="79"/>
      <c r="N114" s="76"/>
      <c r="O114" s="76"/>
      <c r="P114" s="76"/>
      <c r="Q114" s="76"/>
      <c r="R114" s="76"/>
      <c r="T114" s="1"/>
      <c r="U114" s="1"/>
      <c r="V114" s="1"/>
      <c r="W114" s="1"/>
      <c r="X114" s="1"/>
      <c r="Y114" s="1"/>
      <c r="Z114" s="1"/>
      <c r="AA114" s="1"/>
      <c r="AB114" s="1"/>
    </row>
    <row r="115" spans="2:37">
      <c r="B115" s="326"/>
      <c r="C115" s="18" t="s">
        <v>209</v>
      </c>
      <c r="D115" s="74">
        <v>1</v>
      </c>
      <c r="E115" s="74"/>
      <c r="F115" s="74"/>
      <c r="G115" s="74"/>
      <c r="H115" s="74"/>
      <c r="I115" s="74"/>
      <c r="J115" s="79"/>
      <c r="K115" s="79"/>
      <c r="L115" s="79"/>
      <c r="M115" s="79"/>
      <c r="N115" s="76"/>
      <c r="O115" s="76"/>
      <c r="P115" s="76"/>
      <c r="Q115" s="76"/>
      <c r="R115" s="76"/>
      <c r="T115" s="1"/>
      <c r="U115" s="1"/>
      <c r="V115" s="1"/>
      <c r="W115" s="1"/>
      <c r="X115" s="1"/>
      <c r="Y115" s="1"/>
    </row>
    <row r="116" spans="2:37">
      <c r="B116" s="327" t="s">
        <v>39</v>
      </c>
      <c r="C116" s="18" t="s">
        <v>203</v>
      </c>
      <c r="D116" s="79">
        <v>1</v>
      </c>
      <c r="E116" s="79">
        <v>1</v>
      </c>
      <c r="F116" s="79"/>
      <c r="G116" s="79"/>
      <c r="H116" s="79"/>
      <c r="I116" s="79"/>
      <c r="J116" s="79"/>
      <c r="K116" s="79"/>
      <c r="L116" s="79"/>
      <c r="M116" s="79"/>
      <c r="N116" s="76"/>
      <c r="O116" s="76"/>
      <c r="P116" s="76"/>
      <c r="Q116" s="76"/>
      <c r="R116" s="76"/>
      <c r="T116" s="1"/>
      <c r="U116" s="1"/>
      <c r="V116" s="1"/>
      <c r="W116" s="1"/>
      <c r="X116" s="1"/>
      <c r="Y116" s="1"/>
    </row>
    <row r="117" spans="2:37">
      <c r="B117" s="327"/>
      <c r="C117" s="18" t="s">
        <v>210</v>
      </c>
      <c r="D117" s="74"/>
      <c r="E117" s="74"/>
      <c r="F117" s="74"/>
      <c r="G117" s="74"/>
      <c r="H117" s="74"/>
      <c r="I117" s="74"/>
      <c r="J117" s="79">
        <v>1</v>
      </c>
      <c r="K117" s="79"/>
      <c r="L117" s="79"/>
      <c r="M117" s="79"/>
      <c r="N117" s="76"/>
      <c r="O117" s="76"/>
      <c r="P117" s="76"/>
      <c r="Q117" s="76"/>
      <c r="R117" s="76"/>
      <c r="T117" s="1"/>
      <c r="U117" s="1"/>
      <c r="V117" s="1"/>
      <c r="W117" s="1"/>
      <c r="X117" s="1"/>
      <c r="Y117" s="1"/>
    </row>
    <row r="118" spans="2:37">
      <c r="B118" s="327"/>
      <c r="C118" s="18" t="s">
        <v>204</v>
      </c>
      <c r="D118" s="74">
        <v>1</v>
      </c>
      <c r="E118" s="74"/>
      <c r="F118" s="74"/>
      <c r="G118" s="74">
        <v>1</v>
      </c>
      <c r="H118" s="74">
        <v>1</v>
      </c>
      <c r="I118" s="74">
        <v>1</v>
      </c>
      <c r="J118" s="79"/>
      <c r="K118" s="79">
        <v>1</v>
      </c>
      <c r="L118" s="79"/>
      <c r="M118" s="79">
        <v>1</v>
      </c>
      <c r="N118" s="76"/>
      <c r="O118" s="76"/>
      <c r="P118" s="76"/>
      <c r="Q118" s="76"/>
      <c r="R118" s="76"/>
      <c r="T118" s="1"/>
      <c r="U118" s="1"/>
      <c r="V118" s="1"/>
      <c r="W118" s="1"/>
      <c r="X118" s="1"/>
      <c r="Y118" s="1"/>
    </row>
    <row r="119" spans="2:37">
      <c r="B119" s="327"/>
      <c r="C119" s="18" t="s">
        <v>205</v>
      </c>
      <c r="D119" s="74">
        <v>1</v>
      </c>
      <c r="E119" s="74"/>
      <c r="F119" s="74"/>
      <c r="G119" s="224" t="s">
        <v>220</v>
      </c>
      <c r="H119" s="192">
        <v>2</v>
      </c>
      <c r="I119" s="192">
        <v>2</v>
      </c>
      <c r="J119" s="79">
        <v>1</v>
      </c>
      <c r="K119" s="79">
        <v>1</v>
      </c>
      <c r="L119" s="79"/>
      <c r="M119" s="79">
        <v>1</v>
      </c>
      <c r="N119" s="76"/>
      <c r="O119" s="76"/>
      <c r="P119" s="76"/>
      <c r="Q119" s="76"/>
      <c r="R119" s="76"/>
      <c r="T119" s="1"/>
      <c r="U119" s="1"/>
      <c r="V119" s="1"/>
      <c r="W119" s="1"/>
      <c r="X119" s="1"/>
      <c r="Y119" s="1"/>
      <c r="AK119" s="1"/>
    </row>
    <row r="120" spans="2:37">
      <c r="B120" s="327"/>
      <c r="C120" s="18" t="s">
        <v>192</v>
      </c>
      <c r="D120" s="193">
        <v>1</v>
      </c>
      <c r="E120" s="192">
        <v>2</v>
      </c>
      <c r="F120" s="192">
        <v>3</v>
      </c>
      <c r="G120" s="224" t="s">
        <v>219</v>
      </c>
      <c r="H120" s="74"/>
      <c r="I120" s="74"/>
      <c r="J120" s="79"/>
      <c r="K120" s="79"/>
      <c r="L120" s="79"/>
      <c r="M120" s="79"/>
      <c r="N120" s="76"/>
      <c r="O120" s="76"/>
      <c r="P120" s="76"/>
      <c r="Q120" s="76"/>
      <c r="R120" s="76"/>
      <c r="T120" s="1"/>
      <c r="U120" s="1"/>
      <c r="V120" s="1"/>
      <c r="W120" s="1"/>
      <c r="X120" s="1"/>
      <c r="Y120" s="1"/>
      <c r="AC120" s="1"/>
      <c r="AD120" s="1"/>
      <c r="AE120" s="1"/>
      <c r="AF120" s="1"/>
      <c r="AG120" s="1"/>
      <c r="AH120" s="1"/>
      <c r="AI120" s="1"/>
      <c r="AJ120" s="1"/>
      <c r="AK120" s="1"/>
    </row>
    <row r="121" spans="2:37">
      <c r="B121" s="327"/>
      <c r="C121" s="18" t="s">
        <v>193</v>
      </c>
      <c r="D121" s="15">
        <v>1</v>
      </c>
      <c r="E121" s="15">
        <v>1</v>
      </c>
      <c r="F121" s="15">
        <v>1</v>
      </c>
      <c r="G121" s="15"/>
      <c r="H121" s="15"/>
      <c r="I121" s="15"/>
      <c r="J121" s="221"/>
      <c r="K121" s="221"/>
      <c r="L121" s="221"/>
      <c r="M121" s="221"/>
      <c r="N121" s="76"/>
      <c r="O121" s="76"/>
      <c r="P121" s="76"/>
      <c r="Q121" s="76"/>
      <c r="R121" s="76"/>
      <c r="S121" s="1"/>
      <c r="T121" s="1"/>
      <c r="U121" s="1"/>
      <c r="V121" s="1"/>
      <c r="W121" s="1"/>
      <c r="X121" s="1"/>
      <c r="Y121" s="1"/>
      <c r="AB121" s="1"/>
      <c r="AC121" s="1"/>
      <c r="AD121" s="1"/>
      <c r="AE121" s="1"/>
      <c r="AF121" s="1"/>
      <c r="AG121" s="1"/>
      <c r="AH121" s="1"/>
      <c r="AI121" s="1"/>
      <c r="AJ121" s="1"/>
      <c r="AK121" s="1"/>
    </row>
    <row r="122" spans="2:37">
      <c r="B122" s="327"/>
      <c r="C122" s="18" t="s">
        <v>206</v>
      </c>
      <c r="D122" s="74">
        <v>1</v>
      </c>
      <c r="E122" s="74">
        <v>1</v>
      </c>
      <c r="F122" s="74"/>
      <c r="G122" s="74"/>
      <c r="H122" s="74"/>
      <c r="I122" s="74"/>
      <c r="J122" s="79"/>
      <c r="K122" s="79"/>
      <c r="L122" s="79"/>
      <c r="M122" s="79"/>
      <c r="N122" s="76"/>
      <c r="O122" s="76"/>
      <c r="P122" s="80"/>
      <c r="Q122" s="80"/>
      <c r="R122" s="80"/>
      <c r="S122" s="1"/>
      <c r="T122" s="1"/>
      <c r="U122" s="1"/>
      <c r="V122" s="1"/>
      <c r="W122" s="1"/>
      <c r="X122" s="1"/>
      <c r="Y122" s="1"/>
      <c r="Z122" s="1"/>
      <c r="AA122" s="1"/>
      <c r="AB122" s="1"/>
      <c r="AC122" s="1"/>
      <c r="AD122" s="1"/>
      <c r="AE122" s="1"/>
      <c r="AF122" s="1"/>
      <c r="AG122" s="1"/>
      <c r="AH122" s="1"/>
      <c r="AI122" s="1"/>
      <c r="AJ122" s="1"/>
      <c r="AK122" s="1"/>
    </row>
    <row r="123" spans="2:37">
      <c r="B123" s="327"/>
      <c r="C123" s="18" t="s">
        <v>211</v>
      </c>
      <c r="D123" s="74">
        <v>1</v>
      </c>
      <c r="E123" s="74"/>
      <c r="F123" s="74"/>
      <c r="G123" s="74">
        <v>1</v>
      </c>
      <c r="H123" s="74"/>
      <c r="I123" s="74"/>
      <c r="J123" s="79"/>
      <c r="K123" s="79"/>
      <c r="L123" s="79"/>
      <c r="M123" s="79"/>
      <c r="N123" s="76"/>
      <c r="O123" s="76"/>
      <c r="P123" s="80"/>
      <c r="Q123" s="80"/>
      <c r="R123" s="80"/>
      <c r="S123" s="1"/>
      <c r="T123" s="1"/>
      <c r="U123" s="1"/>
      <c r="V123" s="1"/>
      <c r="W123" s="1"/>
      <c r="X123" s="1"/>
      <c r="Y123" s="1"/>
      <c r="Z123" s="1"/>
      <c r="AA123" s="1"/>
      <c r="AB123" s="1"/>
      <c r="AC123" s="1"/>
      <c r="AD123" s="1"/>
      <c r="AE123" s="1"/>
      <c r="AF123" s="1"/>
      <c r="AG123" s="1"/>
      <c r="AH123" s="1"/>
      <c r="AI123" s="1"/>
      <c r="AJ123" s="1"/>
      <c r="AK123" s="1"/>
    </row>
    <row r="124" spans="2:37" ht="12">
      <c r="B124" s="324" t="s">
        <v>38</v>
      </c>
      <c r="C124" s="71" t="s">
        <v>144</v>
      </c>
      <c r="D124" s="74"/>
      <c r="E124" s="74"/>
      <c r="F124" s="74"/>
      <c r="G124" s="74"/>
      <c r="H124" s="74">
        <v>1</v>
      </c>
      <c r="I124" s="74">
        <v>1</v>
      </c>
      <c r="J124" s="79"/>
      <c r="K124" s="79"/>
      <c r="L124" s="79"/>
      <c r="M124" s="79"/>
      <c r="N124" s="76"/>
      <c r="O124" s="76"/>
      <c r="P124" s="80"/>
      <c r="Q124" s="80"/>
      <c r="R124" s="80"/>
      <c r="S124" s="1"/>
      <c r="T124" s="1"/>
      <c r="U124" s="1"/>
      <c r="V124" s="1"/>
      <c r="W124" s="1"/>
      <c r="X124" s="1"/>
      <c r="Y124" s="1"/>
      <c r="Z124" s="1"/>
      <c r="AA124" s="1"/>
      <c r="AB124" s="1"/>
      <c r="AC124" s="1"/>
      <c r="AD124" s="1"/>
      <c r="AE124" s="1"/>
      <c r="AF124" s="1"/>
      <c r="AG124" s="1"/>
      <c r="AH124" s="1"/>
      <c r="AI124" s="1"/>
      <c r="AJ124" s="1"/>
      <c r="AK124" s="1"/>
    </row>
    <row r="125" spans="2:37" ht="12">
      <c r="B125" s="325"/>
      <c r="C125" s="71" t="s">
        <v>148</v>
      </c>
      <c r="D125" s="87">
        <v>2</v>
      </c>
      <c r="E125" s="87">
        <v>2</v>
      </c>
      <c r="F125" s="74">
        <v>1</v>
      </c>
      <c r="G125" s="74"/>
      <c r="H125" s="74"/>
      <c r="I125" s="74"/>
      <c r="J125" s="79"/>
      <c r="K125" s="79"/>
      <c r="L125" s="79"/>
      <c r="M125" s="79"/>
      <c r="N125" s="76"/>
      <c r="O125" s="76"/>
      <c r="P125" s="80"/>
      <c r="Q125" s="80"/>
      <c r="R125" s="80"/>
      <c r="S125" s="1"/>
      <c r="T125" s="1"/>
      <c r="U125" s="1"/>
      <c r="V125" s="1"/>
      <c r="W125" s="1"/>
      <c r="X125" s="1"/>
      <c r="Y125" s="1"/>
      <c r="Z125" s="1"/>
      <c r="AA125" s="1"/>
      <c r="AB125" s="1"/>
      <c r="AC125" s="1"/>
      <c r="AD125" s="1"/>
      <c r="AE125" s="1"/>
      <c r="AF125" s="1"/>
      <c r="AG125" s="1"/>
      <c r="AH125" s="1"/>
      <c r="AI125" s="1"/>
      <c r="AJ125" s="1"/>
      <c r="AK125" s="1"/>
    </row>
    <row r="126" spans="2:37">
      <c r="B126" s="325"/>
      <c r="C126" s="18" t="s">
        <v>195</v>
      </c>
      <c r="D126" s="74"/>
      <c r="E126" s="74">
        <v>1</v>
      </c>
      <c r="F126" s="74">
        <v>1</v>
      </c>
      <c r="G126" s="74">
        <v>1</v>
      </c>
      <c r="H126" s="74">
        <v>1</v>
      </c>
      <c r="I126" s="74">
        <v>1</v>
      </c>
      <c r="J126" s="79"/>
      <c r="K126" s="79"/>
      <c r="L126" s="79"/>
      <c r="M126" s="79"/>
      <c r="N126" s="76"/>
      <c r="O126" s="76"/>
      <c r="P126" s="80"/>
      <c r="Q126" s="80"/>
      <c r="R126" s="80"/>
      <c r="S126" s="1"/>
      <c r="T126" s="1"/>
      <c r="U126" s="1"/>
      <c r="V126" s="1"/>
      <c r="W126" s="1"/>
      <c r="X126" s="1"/>
      <c r="Y126" s="1"/>
      <c r="Z126" s="1"/>
      <c r="AA126" s="1"/>
      <c r="AB126" s="1"/>
      <c r="AC126" s="1"/>
      <c r="AD126" s="1"/>
      <c r="AE126" s="1"/>
      <c r="AF126" s="1"/>
      <c r="AG126" s="1"/>
      <c r="AH126" s="1"/>
      <c r="AI126" s="1"/>
      <c r="AJ126" s="1"/>
      <c r="AK126" s="1"/>
    </row>
    <row r="127" spans="2:37">
      <c r="B127" s="325"/>
      <c r="C127" s="18" t="s">
        <v>208</v>
      </c>
      <c r="D127" s="74"/>
      <c r="E127" s="74"/>
      <c r="F127" s="74"/>
      <c r="G127" s="74"/>
      <c r="H127" s="74"/>
      <c r="I127" s="74"/>
      <c r="J127" s="79">
        <v>1</v>
      </c>
      <c r="K127" s="79"/>
      <c r="L127" s="79"/>
      <c r="M127" s="79"/>
      <c r="N127" s="76"/>
      <c r="O127" s="76"/>
      <c r="P127" s="80"/>
      <c r="Q127" s="80"/>
      <c r="R127" s="80"/>
      <c r="S127" s="1"/>
      <c r="T127" s="1"/>
      <c r="U127" s="1"/>
      <c r="V127" s="1"/>
      <c r="W127" s="1"/>
      <c r="X127" s="1"/>
      <c r="Y127" s="1"/>
      <c r="Z127" s="1"/>
      <c r="AA127" s="1"/>
      <c r="AB127" s="1"/>
      <c r="AC127" s="1"/>
      <c r="AD127" s="1"/>
      <c r="AE127" s="1"/>
      <c r="AF127" s="1"/>
      <c r="AG127" s="1"/>
      <c r="AH127" s="1"/>
      <c r="AI127" s="1"/>
      <c r="AJ127" s="1"/>
      <c r="AK127" s="1"/>
    </row>
    <row r="128" spans="2:37">
      <c r="B128" s="325"/>
      <c r="C128" s="18" t="s">
        <v>198</v>
      </c>
      <c r="D128" s="74">
        <v>1</v>
      </c>
      <c r="E128" s="74"/>
      <c r="F128" s="74"/>
      <c r="G128" s="74"/>
      <c r="H128" s="74"/>
      <c r="I128" s="74"/>
      <c r="J128" s="79"/>
      <c r="K128" s="79"/>
      <c r="L128" s="79"/>
      <c r="M128" s="79"/>
      <c r="N128" s="76"/>
      <c r="O128" s="76"/>
      <c r="P128" s="80"/>
      <c r="Q128" s="80"/>
      <c r="R128" s="80"/>
      <c r="S128" s="1"/>
      <c r="T128" s="1"/>
      <c r="U128" s="1"/>
      <c r="V128" s="1"/>
      <c r="W128" s="1"/>
      <c r="X128" s="1"/>
      <c r="Y128" s="1"/>
      <c r="Z128" s="1"/>
      <c r="AA128" s="1"/>
      <c r="AB128" s="1"/>
      <c r="AC128" s="1"/>
      <c r="AD128" s="1"/>
      <c r="AE128" s="1"/>
      <c r="AF128" s="1"/>
      <c r="AG128" s="1"/>
      <c r="AH128" s="1"/>
      <c r="AI128" s="1"/>
      <c r="AJ128" s="1"/>
      <c r="AK128" s="1"/>
    </row>
    <row r="129" spans="2:37">
      <c r="B129" s="325"/>
      <c r="C129" s="18" t="s">
        <v>128</v>
      </c>
      <c r="D129" s="74"/>
      <c r="E129" s="74"/>
      <c r="F129" s="74"/>
      <c r="G129" s="74"/>
      <c r="H129" s="74"/>
      <c r="I129" s="74">
        <v>1</v>
      </c>
      <c r="J129" s="79">
        <v>1</v>
      </c>
      <c r="K129" s="79">
        <v>1</v>
      </c>
      <c r="L129" s="79"/>
      <c r="M129" s="79">
        <v>1</v>
      </c>
      <c r="N129" s="76"/>
      <c r="O129" s="76"/>
      <c r="P129" s="80"/>
      <c r="Q129" s="80"/>
      <c r="R129" s="80"/>
      <c r="S129" s="1"/>
      <c r="T129" s="1"/>
      <c r="U129" s="1"/>
      <c r="V129" s="1"/>
      <c r="W129" s="1"/>
      <c r="X129" s="1"/>
      <c r="Y129" s="1"/>
      <c r="Z129" s="1"/>
      <c r="AA129" s="1"/>
      <c r="AB129" s="1"/>
      <c r="AC129" s="1"/>
      <c r="AD129" s="1"/>
      <c r="AE129" s="1"/>
      <c r="AF129" s="1"/>
      <c r="AG129" s="1"/>
      <c r="AH129" s="1"/>
      <c r="AI129" s="1"/>
      <c r="AJ129" s="1"/>
      <c r="AK129" s="1"/>
    </row>
    <row r="130" spans="2:37">
      <c r="B130" s="325"/>
      <c r="C130" s="18" t="s">
        <v>212</v>
      </c>
      <c r="D130" s="74"/>
      <c r="E130" s="74"/>
      <c r="F130" s="74"/>
      <c r="G130" s="74"/>
      <c r="H130" s="74"/>
      <c r="I130" s="74"/>
      <c r="J130" s="79"/>
      <c r="K130" s="79">
        <v>1</v>
      </c>
      <c r="L130" s="79"/>
      <c r="M130" s="79"/>
      <c r="N130" s="76"/>
      <c r="O130" s="76"/>
      <c r="P130" s="80"/>
      <c r="Q130" s="80"/>
      <c r="R130" s="80"/>
      <c r="S130" s="1"/>
      <c r="T130" s="1"/>
      <c r="U130" s="1"/>
      <c r="V130" s="1"/>
      <c r="W130" s="1"/>
      <c r="X130" s="1"/>
      <c r="Y130" s="1"/>
      <c r="Z130" s="1"/>
      <c r="AA130" s="1"/>
      <c r="AB130" s="1"/>
      <c r="AC130" s="1"/>
      <c r="AD130" s="1"/>
      <c r="AE130" s="1"/>
      <c r="AF130" s="1"/>
      <c r="AG130" s="1"/>
      <c r="AH130" s="1"/>
      <c r="AI130" s="1"/>
      <c r="AJ130" s="1"/>
      <c r="AK130" s="1"/>
    </row>
    <row r="131" spans="2:37">
      <c r="B131" s="325"/>
      <c r="C131" s="18" t="s">
        <v>213</v>
      </c>
      <c r="D131" s="74"/>
      <c r="E131" s="74"/>
      <c r="F131" s="74"/>
      <c r="G131" s="74"/>
      <c r="H131" s="74"/>
      <c r="I131" s="74"/>
      <c r="J131" s="79"/>
      <c r="K131" s="79"/>
      <c r="L131" s="79"/>
      <c r="M131" s="79">
        <v>1</v>
      </c>
      <c r="N131" s="76"/>
      <c r="O131" s="76"/>
      <c r="P131" s="80"/>
      <c r="Q131" s="80"/>
      <c r="R131" s="80"/>
      <c r="S131" s="1"/>
      <c r="T131" s="1"/>
      <c r="U131" s="1"/>
      <c r="V131" s="1"/>
      <c r="W131" s="1"/>
      <c r="X131" s="1"/>
      <c r="Y131" s="1"/>
      <c r="Z131" s="1"/>
      <c r="AA131" s="1"/>
      <c r="AB131" s="1"/>
      <c r="AC131" s="1"/>
      <c r="AD131" s="1"/>
      <c r="AE131" s="1"/>
      <c r="AF131" s="1"/>
      <c r="AG131" s="1"/>
      <c r="AH131" s="1"/>
      <c r="AI131" s="1"/>
      <c r="AJ131" s="1"/>
      <c r="AK131" s="1"/>
    </row>
    <row r="132" spans="2:37">
      <c r="B132" s="325"/>
      <c r="C132" s="18" t="s">
        <v>123</v>
      </c>
      <c r="D132" s="74"/>
      <c r="E132" s="74"/>
      <c r="F132" s="74"/>
      <c r="G132" s="74"/>
      <c r="H132" s="74"/>
      <c r="I132" s="74"/>
      <c r="J132" s="79"/>
      <c r="K132" s="79"/>
      <c r="L132" s="79"/>
      <c r="M132" s="79">
        <v>1</v>
      </c>
      <c r="N132" s="80"/>
      <c r="O132" s="80"/>
      <c r="P132" s="80"/>
      <c r="Q132" s="80"/>
      <c r="R132" s="80"/>
      <c r="S132" s="1"/>
      <c r="T132" s="1"/>
      <c r="U132" s="1"/>
      <c r="V132" s="1"/>
      <c r="W132" s="1"/>
      <c r="X132" s="1"/>
      <c r="Y132" s="1"/>
      <c r="Z132" s="1"/>
      <c r="AA132" s="1"/>
      <c r="AB132" s="1"/>
      <c r="AC132" s="1"/>
      <c r="AD132" s="1"/>
      <c r="AE132" s="1"/>
      <c r="AF132" s="1"/>
      <c r="AG132" s="1"/>
      <c r="AH132" s="1"/>
      <c r="AI132" s="1"/>
      <c r="AJ132" s="1"/>
      <c r="AK132" s="1"/>
    </row>
    <row r="133" spans="2:37">
      <c r="B133" s="326"/>
      <c r="C133" s="18" t="s">
        <v>214</v>
      </c>
      <c r="D133" s="74"/>
      <c r="E133" s="74"/>
      <c r="F133" s="74"/>
      <c r="G133" s="74"/>
      <c r="H133" s="74"/>
      <c r="I133" s="74">
        <v>1</v>
      </c>
      <c r="J133" s="79">
        <v>1</v>
      </c>
      <c r="K133" s="79">
        <v>1</v>
      </c>
      <c r="L133" s="79"/>
      <c r="M133" s="79"/>
      <c r="N133" s="80"/>
      <c r="O133" s="80"/>
      <c r="P133" s="80"/>
      <c r="Q133" s="80"/>
      <c r="R133" s="80"/>
      <c r="S133" s="1"/>
      <c r="T133" s="1"/>
      <c r="U133" s="1"/>
      <c r="V133" s="1"/>
      <c r="W133" s="1"/>
      <c r="X133" s="1"/>
      <c r="Y133" s="1"/>
      <c r="Z133" s="1"/>
      <c r="AA133" s="1"/>
      <c r="AB133" s="1"/>
      <c r="AC133" s="1"/>
      <c r="AD133" s="1"/>
      <c r="AE133" s="1"/>
      <c r="AF133" s="1"/>
      <c r="AG133" s="1"/>
      <c r="AH133" s="1"/>
      <c r="AI133" s="1"/>
      <c r="AJ133" s="1"/>
      <c r="AK133" s="1"/>
    </row>
    <row r="134" spans="2:37">
      <c r="D134" s="76"/>
      <c r="E134" s="76"/>
      <c r="F134" s="76"/>
      <c r="G134" s="76"/>
      <c r="H134" s="76"/>
      <c r="I134" s="76"/>
      <c r="J134" s="76"/>
      <c r="K134" s="76"/>
      <c r="L134" s="76"/>
      <c r="M134" s="76"/>
      <c r="N134" s="80"/>
      <c r="O134" s="80"/>
      <c r="P134" s="80"/>
      <c r="Q134" s="80"/>
      <c r="R134" s="80"/>
      <c r="S134" s="1"/>
      <c r="T134" s="1"/>
      <c r="U134" s="1"/>
      <c r="V134" s="1"/>
      <c r="W134" s="1"/>
      <c r="X134" s="1"/>
      <c r="Y134" s="1"/>
      <c r="Z134" s="1"/>
      <c r="AA134" s="1"/>
      <c r="AB134" s="1"/>
    </row>
    <row r="135" spans="2:37">
      <c r="B135" s="327" t="s">
        <v>36</v>
      </c>
      <c r="C135" s="37" t="s">
        <v>35</v>
      </c>
      <c r="D135" s="81" t="s">
        <v>76</v>
      </c>
      <c r="E135" s="82"/>
      <c r="F135" s="82"/>
      <c r="G135" s="82"/>
      <c r="H135" s="82"/>
      <c r="I135" s="82"/>
      <c r="J135" s="82"/>
      <c r="K135" s="82"/>
      <c r="L135" s="82"/>
      <c r="M135" s="82"/>
      <c r="N135" s="82"/>
      <c r="O135" s="82"/>
      <c r="P135" s="82"/>
      <c r="Q135" s="82"/>
      <c r="R135" s="80"/>
      <c r="S135" s="1"/>
      <c r="T135" s="1"/>
      <c r="U135" s="1"/>
      <c r="V135" s="1"/>
      <c r="W135" s="1"/>
      <c r="X135" s="1"/>
      <c r="Y135" s="1"/>
      <c r="Z135" s="1"/>
      <c r="AA135" s="1"/>
    </row>
    <row r="136" spans="2:37">
      <c r="B136" s="327"/>
      <c r="C136" s="37" t="s">
        <v>30</v>
      </c>
      <c r="D136" s="74" t="s">
        <v>143</v>
      </c>
      <c r="E136" s="83"/>
      <c r="F136" s="83"/>
      <c r="G136" s="83"/>
      <c r="H136" s="83"/>
      <c r="I136" s="83"/>
      <c r="J136" s="83"/>
      <c r="K136" s="83"/>
      <c r="L136" s="83"/>
      <c r="M136" s="83"/>
      <c r="N136" s="83"/>
      <c r="O136" s="83"/>
      <c r="P136" s="83"/>
      <c r="Q136" s="83"/>
      <c r="R136" s="80"/>
      <c r="S136" s="1"/>
      <c r="T136" s="1"/>
      <c r="U136" s="1"/>
      <c r="V136" s="1"/>
      <c r="W136" s="1"/>
      <c r="X136" s="1"/>
      <c r="Y136" s="1"/>
      <c r="Z136" s="1"/>
    </row>
    <row r="137" spans="2:37">
      <c r="B137" s="37" t="s">
        <v>29</v>
      </c>
      <c r="C137" s="37" t="s">
        <v>77</v>
      </c>
      <c r="D137" s="74">
        <v>5</v>
      </c>
      <c r="E137" s="83"/>
      <c r="F137" s="83"/>
      <c r="G137" s="83"/>
      <c r="H137" s="83"/>
      <c r="I137" s="83"/>
      <c r="J137" s="83"/>
      <c r="K137" s="83"/>
      <c r="L137" s="83"/>
      <c r="M137" s="83"/>
      <c r="N137" s="83"/>
      <c r="O137" s="83"/>
      <c r="P137" s="83"/>
      <c r="Q137" s="83"/>
      <c r="R137" s="80"/>
      <c r="S137" s="1"/>
      <c r="T137" s="1"/>
      <c r="U137" s="1"/>
      <c r="V137" s="1"/>
      <c r="W137" s="1"/>
      <c r="X137" s="1"/>
    </row>
    <row r="138" spans="2:37">
      <c r="B138" s="327" t="s">
        <v>40</v>
      </c>
      <c r="C138" s="68" t="s">
        <v>82</v>
      </c>
      <c r="D138" s="74">
        <v>1</v>
      </c>
      <c r="E138" s="80"/>
      <c r="F138" s="80"/>
      <c r="G138" s="80"/>
      <c r="H138" s="80"/>
      <c r="I138" s="80"/>
      <c r="J138" s="80"/>
      <c r="K138" s="80"/>
      <c r="L138" s="80"/>
      <c r="M138" s="80"/>
      <c r="N138" s="80"/>
      <c r="O138" s="80"/>
      <c r="P138" s="80"/>
      <c r="Q138" s="80"/>
      <c r="R138" s="80"/>
      <c r="S138" s="1"/>
      <c r="T138" s="1"/>
      <c r="U138" s="1"/>
      <c r="V138" s="1"/>
      <c r="W138" s="1"/>
    </row>
    <row r="139" spans="2:37">
      <c r="B139" s="327"/>
      <c r="C139" s="68" t="s">
        <v>187</v>
      </c>
      <c r="D139" s="74">
        <v>1</v>
      </c>
      <c r="E139" s="80"/>
      <c r="F139" s="80"/>
      <c r="G139" s="76"/>
      <c r="H139" s="76"/>
      <c r="I139" s="76"/>
      <c r="J139" s="76"/>
      <c r="K139" s="76"/>
      <c r="L139" s="76"/>
      <c r="M139" s="76"/>
      <c r="N139" s="76"/>
      <c r="O139" s="76"/>
      <c r="P139" s="76"/>
      <c r="Q139" s="76"/>
      <c r="R139" s="76"/>
    </row>
    <row r="140" spans="2:37">
      <c r="B140" s="324" t="s">
        <v>39</v>
      </c>
      <c r="C140" s="69" t="s">
        <v>86</v>
      </c>
      <c r="D140" s="74">
        <v>1</v>
      </c>
      <c r="E140" s="80"/>
      <c r="F140" s="80"/>
      <c r="G140" s="76"/>
      <c r="H140" s="76"/>
      <c r="I140" s="76"/>
      <c r="J140" s="76"/>
      <c r="K140" s="76"/>
      <c r="L140" s="76"/>
      <c r="M140" s="76"/>
      <c r="N140" s="76"/>
      <c r="O140" s="76"/>
      <c r="P140" s="76"/>
      <c r="Q140" s="76"/>
      <c r="R140" s="76"/>
    </row>
    <row r="141" spans="2:37">
      <c r="B141" s="325"/>
      <c r="C141" s="69" t="s">
        <v>216</v>
      </c>
      <c r="D141" s="74">
        <v>1</v>
      </c>
      <c r="E141" s="80"/>
      <c r="F141" s="80"/>
      <c r="G141" s="76"/>
      <c r="H141" s="76"/>
      <c r="I141" s="76"/>
      <c r="J141" s="76"/>
      <c r="K141" s="76"/>
      <c r="L141" s="76"/>
      <c r="M141" s="76"/>
      <c r="N141" s="76"/>
      <c r="O141" s="76"/>
      <c r="P141" s="76"/>
      <c r="Q141" s="76"/>
      <c r="R141" s="76"/>
    </row>
    <row r="142" spans="2:37">
      <c r="B142" s="325"/>
      <c r="C142" s="69" t="s">
        <v>210</v>
      </c>
      <c r="D142" s="74">
        <v>1</v>
      </c>
      <c r="E142" s="80"/>
      <c r="F142" s="80"/>
      <c r="G142" s="76"/>
      <c r="H142" s="76"/>
      <c r="I142" s="76"/>
      <c r="J142" s="76"/>
      <c r="K142" s="76"/>
      <c r="L142" s="76"/>
      <c r="M142" s="76"/>
      <c r="N142" s="76"/>
      <c r="O142" s="76"/>
      <c r="P142" s="76"/>
      <c r="Q142" s="76"/>
      <c r="R142" s="76"/>
    </row>
    <row r="143" spans="2:37">
      <c r="B143" s="325"/>
      <c r="C143" s="69" t="s">
        <v>204</v>
      </c>
      <c r="D143" s="74">
        <v>1</v>
      </c>
      <c r="E143" s="80"/>
      <c r="F143" s="80"/>
      <c r="G143" s="76"/>
      <c r="H143" s="76"/>
      <c r="I143" s="76"/>
      <c r="J143" s="76"/>
      <c r="K143" s="84"/>
      <c r="L143" s="76"/>
      <c r="M143" s="76"/>
      <c r="N143" s="76"/>
      <c r="O143" s="76"/>
      <c r="P143" s="84"/>
      <c r="Q143" s="76"/>
      <c r="R143" s="76"/>
    </row>
    <row r="144" spans="2:37">
      <c r="B144" s="325"/>
      <c r="C144" s="69" t="s">
        <v>99</v>
      </c>
      <c r="D144" s="79">
        <v>1</v>
      </c>
      <c r="E144" s="80"/>
      <c r="F144" s="80"/>
      <c r="G144" s="76"/>
      <c r="H144" s="76"/>
      <c r="I144" s="76"/>
      <c r="J144" s="76"/>
      <c r="K144" s="76"/>
      <c r="L144" s="76"/>
      <c r="M144" s="76"/>
      <c r="N144" s="76"/>
      <c r="O144" s="76"/>
      <c r="P144" s="76"/>
      <c r="Q144" s="76"/>
      <c r="R144" s="76"/>
    </row>
    <row r="145" spans="2:23">
      <c r="B145" s="326"/>
      <c r="C145" s="69" t="s">
        <v>101</v>
      </c>
      <c r="D145" s="74">
        <v>1</v>
      </c>
      <c r="E145" s="80"/>
      <c r="F145" s="76"/>
      <c r="G145" s="76"/>
      <c r="H145" s="76"/>
      <c r="I145" s="76"/>
      <c r="J145" s="76"/>
      <c r="K145" s="76"/>
      <c r="L145" s="76"/>
      <c r="M145" s="76"/>
      <c r="N145" s="76"/>
      <c r="O145" s="76"/>
      <c r="P145" s="76"/>
      <c r="Q145" s="76"/>
      <c r="R145" s="76"/>
    </row>
    <row r="146" spans="2:23">
      <c r="B146" s="327" t="s">
        <v>38</v>
      </c>
      <c r="C146" s="69" t="s">
        <v>218</v>
      </c>
      <c r="D146" s="74">
        <v>1</v>
      </c>
      <c r="E146" s="76"/>
      <c r="F146" s="76"/>
      <c r="G146" s="76"/>
      <c r="H146" s="76"/>
      <c r="I146" s="76"/>
      <c r="J146" s="76"/>
      <c r="K146" s="76"/>
      <c r="L146" s="76"/>
      <c r="M146" s="76"/>
      <c r="N146" s="76"/>
      <c r="O146" s="76"/>
      <c r="P146" s="76"/>
      <c r="Q146" s="76"/>
      <c r="R146" s="76"/>
    </row>
    <row r="147" spans="2:23">
      <c r="B147" s="327"/>
      <c r="C147" s="69" t="s">
        <v>128</v>
      </c>
      <c r="D147" s="74">
        <v>1</v>
      </c>
      <c r="E147" s="76"/>
      <c r="F147" s="76"/>
      <c r="G147" s="76"/>
      <c r="H147" s="76"/>
      <c r="I147" s="76"/>
      <c r="J147" s="76"/>
      <c r="K147" s="76"/>
      <c r="L147" s="76"/>
      <c r="M147" s="76"/>
      <c r="N147" s="76"/>
      <c r="O147" s="76"/>
      <c r="P147" s="76"/>
      <c r="Q147" s="76"/>
      <c r="R147" s="76"/>
    </row>
    <row r="148" spans="2:23">
      <c r="B148" s="327"/>
      <c r="C148" s="69" t="s">
        <v>120</v>
      </c>
      <c r="D148" s="74">
        <v>1</v>
      </c>
      <c r="E148" s="76"/>
      <c r="F148" s="76"/>
      <c r="G148" s="76"/>
      <c r="H148" s="76"/>
      <c r="I148" s="76"/>
      <c r="J148" s="76"/>
      <c r="K148" s="76"/>
      <c r="L148" s="76"/>
      <c r="M148" s="76"/>
      <c r="N148" s="76"/>
      <c r="O148" s="76"/>
      <c r="P148" s="76"/>
      <c r="Q148" s="76"/>
      <c r="R148" s="76"/>
    </row>
    <row r="149" spans="2:23">
      <c r="B149" s="327"/>
      <c r="C149" s="69" t="s">
        <v>212</v>
      </c>
      <c r="D149" s="74">
        <v>1</v>
      </c>
      <c r="E149" s="76"/>
      <c r="F149" s="76"/>
      <c r="G149" s="76"/>
      <c r="H149" s="76"/>
      <c r="I149" s="76"/>
      <c r="J149" s="76"/>
      <c r="K149" s="76"/>
      <c r="L149" s="76"/>
      <c r="M149" s="76"/>
      <c r="N149" s="76"/>
      <c r="O149" s="76"/>
      <c r="P149" s="76"/>
      <c r="Q149" s="76"/>
      <c r="R149" s="76"/>
    </row>
    <row r="150" spans="2:23">
      <c r="B150" s="327"/>
      <c r="C150" s="69" t="s">
        <v>123</v>
      </c>
      <c r="D150" s="74">
        <v>1</v>
      </c>
      <c r="E150" s="76"/>
      <c r="F150" s="76"/>
      <c r="G150" s="76"/>
      <c r="H150" s="76"/>
      <c r="I150" s="76"/>
      <c r="J150" s="76"/>
      <c r="K150" s="76"/>
      <c r="L150" s="76"/>
      <c r="M150" s="76"/>
      <c r="N150" s="76"/>
      <c r="O150" s="76"/>
      <c r="P150" s="76"/>
      <c r="Q150" s="76"/>
      <c r="R150" s="76"/>
    </row>
    <row r="151" spans="2:23">
      <c r="B151" s="70"/>
      <c r="C151" s="85"/>
      <c r="D151" s="86"/>
      <c r="E151" s="84"/>
      <c r="F151" s="76"/>
      <c r="G151" s="76"/>
      <c r="H151" s="76"/>
      <c r="I151" s="76"/>
      <c r="J151" s="76"/>
      <c r="K151" s="76"/>
      <c r="L151" s="76"/>
      <c r="M151" s="76"/>
      <c r="N151" s="76"/>
      <c r="O151" s="76"/>
      <c r="P151" s="76"/>
      <c r="Q151" s="76"/>
      <c r="R151" s="76"/>
    </row>
    <row r="152" spans="2:23" hidden="1">
      <c r="B152" s="70"/>
      <c r="C152" s="85"/>
      <c r="D152" s="86"/>
      <c r="E152" s="84"/>
      <c r="F152" s="76"/>
      <c r="G152" s="76"/>
      <c r="H152" s="76"/>
      <c r="I152" s="75"/>
      <c r="J152" s="76"/>
      <c r="K152" s="76"/>
      <c r="L152" s="76"/>
      <c r="M152" s="76"/>
      <c r="N152" s="76"/>
      <c r="O152" s="76"/>
      <c r="P152" s="76"/>
      <c r="Q152" s="76"/>
      <c r="R152" s="76"/>
    </row>
    <row r="153" spans="2:23" hidden="1">
      <c r="B153" s="70"/>
      <c r="C153" s="85"/>
      <c r="D153" s="86"/>
      <c r="E153" s="84"/>
      <c r="F153" s="76"/>
      <c r="G153" s="76"/>
      <c r="H153" s="76"/>
      <c r="I153" s="76"/>
      <c r="J153" s="76"/>
      <c r="K153" s="76"/>
      <c r="L153" s="76"/>
      <c r="M153" s="76"/>
      <c r="N153" s="76"/>
      <c r="O153" s="76"/>
      <c r="P153" s="76"/>
      <c r="Q153" s="76"/>
      <c r="R153" s="76"/>
    </row>
    <row r="154" spans="2:23" hidden="1">
      <c r="B154" s="70"/>
      <c r="C154" s="85"/>
      <c r="D154" s="86"/>
      <c r="E154" s="84"/>
      <c r="F154" s="76"/>
      <c r="G154" s="76"/>
      <c r="H154" s="76"/>
      <c r="I154" s="76"/>
      <c r="J154" s="76"/>
      <c r="K154" s="76"/>
      <c r="L154" s="76"/>
      <c r="M154" s="76"/>
      <c r="N154" s="76"/>
      <c r="O154" s="76"/>
      <c r="P154" s="76"/>
      <c r="Q154" s="76"/>
      <c r="R154" s="76"/>
    </row>
    <row r="155" spans="2:23" hidden="1">
      <c r="B155" s="70"/>
      <c r="C155" s="85"/>
      <c r="D155" s="86"/>
      <c r="E155" s="84"/>
      <c r="F155" s="76"/>
      <c r="G155" s="76"/>
      <c r="H155" s="76"/>
      <c r="I155" s="76"/>
      <c r="J155" s="76"/>
      <c r="K155" s="76"/>
      <c r="L155" s="76"/>
      <c r="M155" s="76"/>
      <c r="N155" s="76"/>
      <c r="O155" s="76"/>
      <c r="P155" s="76"/>
      <c r="Q155" s="76"/>
      <c r="R155" s="76"/>
    </row>
    <row r="156" spans="2:23" hidden="1">
      <c r="B156" s="60"/>
      <c r="C156" s="60"/>
      <c r="D156" s="84"/>
      <c r="E156" s="84"/>
      <c r="F156" s="76"/>
      <c r="G156" s="76"/>
      <c r="H156" s="76"/>
      <c r="I156" s="76"/>
      <c r="J156" s="76"/>
      <c r="K156" s="76"/>
      <c r="L156" s="76"/>
      <c r="M156" s="76"/>
      <c r="N156" s="76"/>
      <c r="O156" s="76"/>
      <c r="P156" s="76"/>
      <c r="Q156" s="76"/>
      <c r="R156" s="76"/>
    </row>
    <row r="157" spans="2:23" hidden="1">
      <c r="B157" s="60"/>
      <c r="C157" s="60"/>
      <c r="D157" s="84"/>
      <c r="E157" s="84"/>
      <c r="F157" s="76"/>
      <c r="G157" s="76"/>
      <c r="H157" s="76"/>
      <c r="I157" s="76"/>
      <c r="J157" s="76"/>
      <c r="K157" s="76"/>
      <c r="L157" s="76"/>
      <c r="M157" s="76"/>
      <c r="N157" s="76"/>
      <c r="O157" s="76"/>
      <c r="P157" s="76"/>
      <c r="Q157" s="76"/>
      <c r="R157" s="76"/>
    </row>
    <row r="158" spans="2:23" hidden="1">
      <c r="B158" s="60"/>
      <c r="C158" s="60"/>
      <c r="D158" s="60"/>
      <c r="E158" s="84"/>
      <c r="F158" s="76"/>
      <c r="G158" s="76"/>
      <c r="H158" s="76"/>
      <c r="I158" s="76"/>
      <c r="J158" s="76"/>
      <c r="K158" s="76"/>
      <c r="L158" s="76"/>
      <c r="M158" s="76"/>
      <c r="N158" s="80"/>
      <c r="O158" s="80"/>
      <c r="P158" s="76"/>
      <c r="Q158" s="76"/>
      <c r="R158" s="76"/>
    </row>
    <row r="159" spans="2:23" hidden="1">
      <c r="N159" s="1"/>
      <c r="O159" s="1"/>
    </row>
    <row r="160" spans="2:23" hidden="1">
      <c r="B160" s="1"/>
      <c r="C160" s="1"/>
      <c r="D160" s="80"/>
      <c r="E160" s="1"/>
      <c r="F160" s="106" t="s">
        <v>277</v>
      </c>
      <c r="G160" s="1"/>
      <c r="H160" s="1"/>
      <c r="I160" s="91"/>
      <c r="J160" s="91"/>
      <c r="K160" s="98"/>
      <c r="L160" s="98"/>
      <c r="M160" s="1"/>
      <c r="N160" s="1"/>
      <c r="O160" s="1"/>
      <c r="P160" s="1"/>
      <c r="Q160" s="1"/>
      <c r="R160" s="80"/>
      <c r="S160" s="1"/>
      <c r="T160" s="106" t="s">
        <v>277</v>
      </c>
      <c r="U160" s="1"/>
      <c r="V160" s="1"/>
      <c r="W160" s="91"/>
    </row>
    <row r="161" spans="2:26" ht="24" hidden="1">
      <c r="B161" s="109"/>
      <c r="C161" s="109" t="s">
        <v>43</v>
      </c>
      <c r="D161" s="109" t="s">
        <v>45</v>
      </c>
      <c r="E161" s="110" t="s">
        <v>46</v>
      </c>
      <c r="F161" s="111" t="s">
        <v>49</v>
      </c>
      <c r="G161" s="112" t="s">
        <v>278</v>
      </c>
      <c r="H161" s="111" t="s">
        <v>249</v>
      </c>
      <c r="I161" s="112" t="s">
        <v>60</v>
      </c>
      <c r="J161" s="112" t="s">
        <v>242</v>
      </c>
      <c r="K161" s="113" t="s">
        <v>257</v>
      </c>
      <c r="L161" s="114" t="s">
        <v>243</v>
      </c>
      <c r="M161" s="1"/>
      <c r="N161" s="109"/>
      <c r="O161" s="109" t="s">
        <v>43</v>
      </c>
      <c r="P161" s="109" t="s">
        <v>45</v>
      </c>
      <c r="Q161" s="110" t="s">
        <v>46</v>
      </c>
      <c r="R161" s="111" t="s">
        <v>49</v>
      </c>
      <c r="S161" s="112" t="s">
        <v>59</v>
      </c>
      <c r="T161" s="110" t="s">
        <v>253</v>
      </c>
      <c r="U161" s="110" t="s">
        <v>48</v>
      </c>
      <c r="V161" s="113" t="s">
        <v>257</v>
      </c>
      <c r="W161" s="114" t="s">
        <v>243</v>
      </c>
      <c r="X161" s="94" t="s">
        <v>262</v>
      </c>
    </row>
    <row r="162" spans="2:26" ht="12" hidden="1">
      <c r="B162" s="304" t="s">
        <v>62</v>
      </c>
      <c r="C162" s="115" t="s">
        <v>230</v>
      </c>
      <c r="D162" s="109">
        <v>3</v>
      </c>
      <c r="E162" s="115">
        <f>VLOOKUP(D162,$AL$20:$AM$24,2,FALSE)</f>
        <v>0.375</v>
      </c>
      <c r="F162" s="115">
        <v>0.85</v>
      </c>
      <c r="G162" s="115">
        <v>10</v>
      </c>
      <c r="H162" s="122">
        <f>1639.38291+124.00159</f>
        <v>1763.3845000000001</v>
      </c>
      <c r="I162" s="116">
        <f>G162*H162/10000</f>
        <v>1.7633845000000001</v>
      </c>
      <c r="J162" s="117">
        <f>I162*E162</f>
        <v>0.66126918750000008</v>
      </c>
      <c r="K162" s="308">
        <f>SUM(J162:J168)</f>
        <v>7.8911456375000002</v>
      </c>
      <c r="L162" s="311">
        <v>8.0370000000000008</v>
      </c>
      <c r="N162" s="304" t="s">
        <v>62</v>
      </c>
      <c r="O162" s="115" t="s">
        <v>230</v>
      </c>
      <c r="P162" s="109">
        <v>3</v>
      </c>
      <c r="Q162" s="115">
        <f>VLOOKUP(P162,$AL$20:$AM$24,2,FALSE)</f>
        <v>0.375</v>
      </c>
      <c r="R162" s="115">
        <v>0.85</v>
      </c>
      <c r="S162" s="115">
        <v>10</v>
      </c>
      <c r="T162" s="124">
        <f>0.030629+0.033964+0.072166+0.54679+0.193117+0.878774+0.784323+0.077042+0.034021+0.007383+0.023171+0.051068+0.073348+0.177042+0.024698+0.00367+0.123157+0.108526+0.028451+0.010452+0.077264+0.076217+0.015825+0.005397+0.005906+0.022489+0.005379+0.005331+0.080827</f>
        <v>3.5764270000000007</v>
      </c>
      <c r="U162" s="120">
        <f>T162*(S162/SUM(S162:S168))*Q162</f>
        <v>0.10316616346153848</v>
      </c>
      <c r="V162" s="308">
        <f>SUM(U162:U168)</f>
        <v>1.2311162173076926</v>
      </c>
      <c r="W162" s="311">
        <v>8.0370000000000008</v>
      </c>
      <c r="X162" s="91" t="s">
        <v>258</v>
      </c>
      <c r="Y162" s="99">
        <f>0.030629+0.033964+0.072166+0.54679+0.193117+0.878774+0.784323+0.077042+0.034021+0.007383+0.023171+0.051068+0.073348+0.177042+0.024698+0.00367+0.123157+0.108526+0.028451+0.010452+0.077264+0.076217+0.015825+0.005397+0.005906+0.022489+0.005379+0.005331+0.080827</f>
        <v>3.5764270000000007</v>
      </c>
      <c r="Z162" s="60" t="s">
        <v>261</v>
      </c>
    </row>
    <row r="163" spans="2:26" ht="12" hidden="1">
      <c r="B163" s="304"/>
      <c r="C163" s="71" t="s">
        <v>231</v>
      </c>
      <c r="D163" s="109">
        <v>3</v>
      </c>
      <c r="E163" s="115">
        <f>VLOOKUP(D163,$AL$20:$AM$24,2,FALSE)</f>
        <v>0.375</v>
      </c>
      <c r="F163" s="115" t="s">
        <v>241</v>
      </c>
      <c r="G163" s="115">
        <v>55</v>
      </c>
      <c r="H163" s="122">
        <f>1639.38291+124.00159</f>
        <v>1763.3845000000001</v>
      </c>
      <c r="I163" s="116">
        <f>G163*H163/10000</f>
        <v>9.6986147500000008</v>
      </c>
      <c r="J163" s="117">
        <f>I163*E163</f>
        <v>3.6369805312500003</v>
      </c>
      <c r="K163" s="309"/>
      <c r="L163" s="311"/>
      <c r="N163" s="304"/>
      <c r="O163" s="71" t="s">
        <v>231</v>
      </c>
      <c r="P163" s="109">
        <v>3</v>
      </c>
      <c r="Q163" s="115">
        <f>VLOOKUP(P163,$AL$20:$AM$24,2,FALSE)</f>
        <v>0.375</v>
      </c>
      <c r="R163" s="115" t="s">
        <v>241</v>
      </c>
      <c r="S163" s="115">
        <v>55</v>
      </c>
      <c r="T163" s="124">
        <f t="shared" ref="T163:T168" si="0">0.030629+0.033964+0.072166+0.54679+0.193117+0.878774+0.784323+0.077042+0.034021+0.007383+0.023171+0.051068+0.073348+0.177042+0.024698+0.00367+0.123157+0.108526+0.028451+0.010452+0.077264+0.076217+0.015825+0.005397+0.005906+0.022489+0.005379+0.005331+0.080827</f>
        <v>3.5764270000000007</v>
      </c>
      <c r="U163" s="120">
        <f>T162*(S163/SUM(S162:S168))*Q163</f>
        <v>0.56741389903846162</v>
      </c>
      <c r="V163" s="308"/>
      <c r="W163" s="311"/>
      <c r="X163" s="91" t="s">
        <v>259</v>
      </c>
      <c r="Y163" s="8">
        <f>5.953275+0.080827+0.001788+0.010172+0.084538</f>
        <v>6.1306000000000003</v>
      </c>
      <c r="Z163" s="60" t="s">
        <v>261</v>
      </c>
    </row>
    <row r="164" spans="2:26" ht="12" hidden="1">
      <c r="B164" s="304"/>
      <c r="C164" s="115" t="s">
        <v>229</v>
      </c>
      <c r="D164" s="109">
        <v>5</v>
      </c>
      <c r="E164" s="115">
        <f t="shared" ref="E164:E165" si="1">VLOOKUP(D164,$AL$20:$AM$24,2,FALSE)</f>
        <v>0.875</v>
      </c>
      <c r="F164" s="115">
        <v>6.45</v>
      </c>
      <c r="G164" s="115">
        <v>15</v>
      </c>
      <c r="H164" s="122">
        <f>1639.38291+124.00159</f>
        <v>1763.3845000000001</v>
      </c>
      <c r="I164" s="116">
        <f t="shared" ref="I164:I187" si="2">G164*H164/10000</f>
        <v>2.6450767500000003</v>
      </c>
      <c r="J164" s="117">
        <f>I164*E164</f>
        <v>2.3144421562500002</v>
      </c>
      <c r="K164" s="309"/>
      <c r="L164" s="311"/>
      <c r="N164" s="304"/>
      <c r="O164" s="115" t="s">
        <v>229</v>
      </c>
      <c r="P164" s="109">
        <v>5</v>
      </c>
      <c r="Q164" s="115">
        <f t="shared" ref="Q164:Q184" si="3">VLOOKUP(P164,$AL$20:$AM$24,2,FALSE)</f>
        <v>0.875</v>
      </c>
      <c r="R164" s="115">
        <v>6.45</v>
      </c>
      <c r="S164" s="115">
        <v>15</v>
      </c>
      <c r="T164" s="124">
        <f t="shared" si="0"/>
        <v>3.5764270000000007</v>
      </c>
      <c r="U164" s="120">
        <f>T162*(S164/SUM(S162:S168))*Q164</f>
        <v>0.36108157211538472</v>
      </c>
      <c r="V164" s="308"/>
      <c r="W164" s="311"/>
      <c r="X164" s="91" t="s">
        <v>260</v>
      </c>
      <c r="Y164" s="8">
        <f>0.75636+0.348629+0.002986+0.019729+0.028793+0.054449+0.007742+0.010278+0.00596+0.004244+0.096571</f>
        <v>1.3357409999999998</v>
      </c>
      <c r="Z164" s="60" t="s">
        <v>261</v>
      </c>
    </row>
    <row r="165" spans="2:26" ht="12" hidden="1">
      <c r="B165" s="304"/>
      <c r="C165" s="115" t="s">
        <v>229</v>
      </c>
      <c r="D165" s="109">
        <v>3</v>
      </c>
      <c r="E165" s="115">
        <f t="shared" si="1"/>
        <v>0.375</v>
      </c>
      <c r="F165" s="115">
        <v>8.8000000000000007</v>
      </c>
      <c r="G165" s="115">
        <v>10</v>
      </c>
      <c r="H165" s="122">
        <f>1639.38291+124.00159</f>
        <v>1763.3845000000001</v>
      </c>
      <c r="I165" s="116">
        <f>G165*H165/10000</f>
        <v>1.7633845000000001</v>
      </c>
      <c r="J165" s="117">
        <f t="shared" ref="J165:J187" si="4">I165*E165</f>
        <v>0.66126918750000008</v>
      </c>
      <c r="K165" s="309"/>
      <c r="L165" s="311"/>
      <c r="N165" s="304"/>
      <c r="O165" s="115" t="s">
        <v>229</v>
      </c>
      <c r="P165" s="109">
        <v>3</v>
      </c>
      <c r="Q165" s="115">
        <f t="shared" si="3"/>
        <v>0.375</v>
      </c>
      <c r="R165" s="115">
        <v>8.8000000000000007</v>
      </c>
      <c r="S165" s="115">
        <v>10</v>
      </c>
      <c r="T165" s="124">
        <f t="shared" si="0"/>
        <v>3.5764270000000007</v>
      </c>
      <c r="U165" s="120">
        <f>T162*(S165/SUM(S162:S168))*Q165</f>
        <v>0.10316616346153848</v>
      </c>
      <c r="V165" s="308"/>
      <c r="W165" s="311"/>
      <c r="X165" s="91"/>
      <c r="Y165" s="100"/>
      <c r="Z165" s="60"/>
    </row>
    <row r="166" spans="2:26" ht="12" hidden="1">
      <c r="B166" s="304"/>
      <c r="C166" s="139" t="s">
        <v>263</v>
      </c>
      <c r="D166" s="109">
        <v>1</v>
      </c>
      <c r="E166" s="115">
        <f t="shared" ref="E166:E187" si="5">VLOOKUP(D166,$AL$20:$AM$24,2,FALSE)</f>
        <v>2.5000000000000001E-2</v>
      </c>
      <c r="F166" s="115">
        <v>8.8000000000000007</v>
      </c>
      <c r="G166" s="115">
        <v>10</v>
      </c>
      <c r="H166" s="122">
        <f t="shared" ref="H166:H168" si="6">1639.38291+124.00159</f>
        <v>1763.3845000000001</v>
      </c>
      <c r="I166" s="116">
        <f t="shared" si="2"/>
        <v>1.7633845000000001</v>
      </c>
      <c r="J166" s="117">
        <f t="shared" si="4"/>
        <v>4.4084612500000009E-2</v>
      </c>
      <c r="K166" s="309"/>
      <c r="L166" s="311"/>
      <c r="N166" s="304"/>
      <c r="O166" s="115" t="s">
        <v>263</v>
      </c>
      <c r="P166" s="109">
        <v>1</v>
      </c>
      <c r="Q166" s="115">
        <f t="shared" si="3"/>
        <v>2.5000000000000001E-2</v>
      </c>
      <c r="R166" s="115">
        <v>8.8000000000000007</v>
      </c>
      <c r="S166" s="115">
        <v>10</v>
      </c>
      <c r="T166" s="124">
        <f t="shared" si="0"/>
        <v>3.5764270000000007</v>
      </c>
      <c r="U166" s="120">
        <f>T162*(S166/SUM(S162:S168))*Q166</f>
        <v>6.8777442307692326E-3</v>
      </c>
      <c r="V166" s="308"/>
      <c r="W166" s="311"/>
      <c r="X166" s="100">
        <f>W162-(Y163+Y164)</f>
        <v>0.57065900000000092</v>
      </c>
      <c r="Y166" s="60" t="s">
        <v>254</v>
      </c>
    </row>
    <row r="167" spans="2:26" ht="12" hidden="1">
      <c r="B167" s="304"/>
      <c r="C167" s="139" t="s">
        <v>227</v>
      </c>
      <c r="D167" s="109">
        <v>2</v>
      </c>
      <c r="E167" s="115">
        <f t="shared" si="5"/>
        <v>0.15</v>
      </c>
      <c r="F167" s="115">
        <v>14.45</v>
      </c>
      <c r="G167" s="115">
        <v>20</v>
      </c>
      <c r="H167" s="122">
        <f t="shared" si="6"/>
        <v>1763.3845000000001</v>
      </c>
      <c r="I167" s="116">
        <f t="shared" si="2"/>
        <v>3.5267690000000003</v>
      </c>
      <c r="J167" s="117">
        <f t="shared" si="4"/>
        <v>0.52901535</v>
      </c>
      <c r="K167" s="309"/>
      <c r="L167" s="311"/>
      <c r="N167" s="304"/>
      <c r="O167" s="115" t="s">
        <v>227</v>
      </c>
      <c r="P167" s="109">
        <v>2</v>
      </c>
      <c r="Q167" s="115">
        <f t="shared" si="3"/>
        <v>0.15</v>
      </c>
      <c r="R167" s="115">
        <v>14.45</v>
      </c>
      <c r="S167" s="115">
        <v>20</v>
      </c>
      <c r="T167" s="124">
        <f t="shared" si="0"/>
        <v>3.5764270000000007</v>
      </c>
      <c r="U167" s="120">
        <f>T162*(S167/SUM(S162:S168))*Q167</f>
        <v>8.2532930769230781E-2</v>
      </c>
      <c r="V167" s="308"/>
      <c r="W167" s="311"/>
      <c r="X167" s="100" t="s">
        <v>256</v>
      </c>
      <c r="Y167" s="60" t="s">
        <v>255</v>
      </c>
    </row>
    <row r="168" spans="2:26" ht="12" hidden="1">
      <c r="B168" s="304"/>
      <c r="C168" s="139" t="s">
        <v>232</v>
      </c>
      <c r="D168" s="109">
        <v>1</v>
      </c>
      <c r="E168" s="115">
        <f t="shared" si="5"/>
        <v>2.5000000000000001E-2</v>
      </c>
      <c r="F168" s="115">
        <v>17.7</v>
      </c>
      <c r="G168" s="115">
        <v>10</v>
      </c>
      <c r="H168" s="122">
        <f t="shared" si="6"/>
        <v>1763.3845000000001</v>
      </c>
      <c r="I168" s="116">
        <f t="shared" si="2"/>
        <v>1.7633845000000001</v>
      </c>
      <c r="J168" s="117">
        <f t="shared" si="4"/>
        <v>4.4084612500000009E-2</v>
      </c>
      <c r="K168" s="309"/>
      <c r="L168" s="311"/>
      <c r="N168" s="304"/>
      <c r="O168" s="115" t="s">
        <v>232</v>
      </c>
      <c r="P168" s="109">
        <v>1</v>
      </c>
      <c r="Q168" s="115">
        <f t="shared" si="3"/>
        <v>2.5000000000000001E-2</v>
      </c>
      <c r="R168" s="115">
        <v>17.7</v>
      </c>
      <c r="S168" s="115">
        <v>10</v>
      </c>
      <c r="T168" s="124">
        <f t="shared" si="0"/>
        <v>3.5764270000000007</v>
      </c>
      <c r="U168" s="120">
        <f>T162*(S168/SUM(S162:S168))*Q168</f>
        <v>6.8777442307692326E-3</v>
      </c>
      <c r="V168" s="308"/>
      <c r="W168" s="311"/>
      <c r="X168" s="100"/>
      <c r="Y168" s="60"/>
    </row>
    <row r="169" spans="2:26" ht="12" hidden="1">
      <c r="B169" s="305" t="s">
        <v>63</v>
      </c>
      <c r="C169" s="113" t="s">
        <v>234</v>
      </c>
      <c r="D169" s="109">
        <v>3</v>
      </c>
      <c r="E169" s="115">
        <f t="shared" si="5"/>
        <v>0.375</v>
      </c>
      <c r="F169" s="115">
        <v>2</v>
      </c>
      <c r="G169" s="115">
        <v>10</v>
      </c>
      <c r="H169" s="122">
        <v>1703.4713200000001</v>
      </c>
      <c r="I169" s="116">
        <f t="shared" si="2"/>
        <v>1.7034713200000002</v>
      </c>
      <c r="J169" s="117">
        <f>I169*E169</f>
        <v>0.63880174500000009</v>
      </c>
      <c r="K169" s="313">
        <f>SUM(J169:J178)</f>
        <v>4.3438518660000014</v>
      </c>
      <c r="L169" s="311"/>
      <c r="N169" s="305" t="s">
        <v>63</v>
      </c>
      <c r="O169" s="113" t="s">
        <v>234</v>
      </c>
      <c r="P169" s="109">
        <v>3</v>
      </c>
      <c r="Q169" s="115">
        <f t="shared" si="3"/>
        <v>0.375</v>
      </c>
      <c r="R169" s="115">
        <v>2</v>
      </c>
      <c r="S169" s="115">
        <v>10</v>
      </c>
      <c r="T169" s="124">
        <f>5.953275+0.080827+0.001788+0.010172+0.084538</f>
        <v>6.1306000000000003</v>
      </c>
      <c r="U169" s="120">
        <f>T169*(S169/SUM(S169:S178))*Q169</f>
        <v>0.15326499999999998</v>
      </c>
      <c r="V169" s="313">
        <f>SUM(U169:U178)</f>
        <v>1.0799287692307691</v>
      </c>
      <c r="W169" s="311"/>
      <c r="X169" s="100"/>
      <c r="Y169" s="60"/>
    </row>
    <row r="170" spans="2:26" ht="12" hidden="1">
      <c r="B170" s="306"/>
      <c r="C170" s="115" t="s">
        <v>233</v>
      </c>
      <c r="D170" s="109">
        <v>3</v>
      </c>
      <c r="E170" s="115">
        <f t="shared" si="5"/>
        <v>0.375</v>
      </c>
      <c r="F170" s="115" t="s">
        <v>236</v>
      </c>
      <c r="G170" s="115">
        <v>20</v>
      </c>
      <c r="H170" s="122">
        <v>1703.4713200000001</v>
      </c>
      <c r="I170" s="116">
        <f t="shared" si="2"/>
        <v>3.4069426400000005</v>
      </c>
      <c r="J170" s="117">
        <f>I170*E170</f>
        <v>1.2776034900000002</v>
      </c>
      <c r="K170" s="314"/>
      <c r="L170" s="311"/>
      <c r="N170" s="306"/>
      <c r="O170" s="115" t="s">
        <v>233</v>
      </c>
      <c r="P170" s="109">
        <v>3</v>
      </c>
      <c r="Q170" s="115">
        <f t="shared" si="3"/>
        <v>0.375</v>
      </c>
      <c r="R170" s="115" t="s">
        <v>236</v>
      </c>
      <c r="S170" s="115">
        <v>20</v>
      </c>
      <c r="T170" s="124">
        <f t="shared" ref="T170:T178" si="7">5.953275+0.080827+0.001788+0.010172+0.084538</f>
        <v>6.1306000000000003</v>
      </c>
      <c r="U170" s="120">
        <f>T169*(S170/SUM(S169:S178))*Q170</f>
        <v>0.30652999999999997</v>
      </c>
      <c r="V170" s="314"/>
      <c r="W170" s="311"/>
      <c r="X170" s="100"/>
      <c r="Y170" s="60"/>
    </row>
    <row r="171" spans="2:26" ht="12" hidden="1">
      <c r="B171" s="306"/>
      <c r="C171" s="71" t="s">
        <v>231</v>
      </c>
      <c r="D171" s="109">
        <v>2</v>
      </c>
      <c r="E171" s="115">
        <f t="shared" si="5"/>
        <v>0.15</v>
      </c>
      <c r="F171" s="115" t="s">
        <v>237</v>
      </c>
      <c r="G171" s="115">
        <v>20</v>
      </c>
      <c r="H171" s="122">
        <v>1703.4713200000001</v>
      </c>
      <c r="I171" s="116">
        <f t="shared" si="2"/>
        <v>3.4069426400000005</v>
      </c>
      <c r="J171" s="117">
        <f t="shared" si="4"/>
        <v>0.51104139600000009</v>
      </c>
      <c r="K171" s="314"/>
      <c r="L171" s="311"/>
      <c r="N171" s="306"/>
      <c r="O171" s="71" t="s">
        <v>231</v>
      </c>
      <c r="P171" s="109">
        <v>2</v>
      </c>
      <c r="Q171" s="115">
        <f t="shared" si="3"/>
        <v>0.15</v>
      </c>
      <c r="R171" s="115" t="s">
        <v>237</v>
      </c>
      <c r="S171" s="115">
        <v>20</v>
      </c>
      <c r="T171" s="124">
        <f t="shared" si="7"/>
        <v>6.1306000000000003</v>
      </c>
      <c r="U171" s="120">
        <f>T169*(S171/SUM(S169:S178))*Q171</f>
        <v>0.122612</v>
      </c>
      <c r="V171" s="314"/>
      <c r="W171" s="311"/>
      <c r="X171" s="60"/>
      <c r="Y171" s="60"/>
    </row>
    <row r="172" spans="2:26" ht="12" hidden="1">
      <c r="B172" s="306"/>
      <c r="C172" s="115" t="s">
        <v>44</v>
      </c>
      <c r="D172" s="109">
        <v>2</v>
      </c>
      <c r="E172" s="115">
        <f t="shared" si="5"/>
        <v>0.15</v>
      </c>
      <c r="F172" s="115" t="s">
        <v>238</v>
      </c>
      <c r="G172" s="115">
        <v>10</v>
      </c>
      <c r="H172" s="122">
        <v>1703.4713200000001</v>
      </c>
      <c r="I172" s="116">
        <f t="shared" si="2"/>
        <v>1.7034713200000002</v>
      </c>
      <c r="J172" s="117">
        <f t="shared" si="4"/>
        <v>0.25552069800000005</v>
      </c>
      <c r="K172" s="314"/>
      <c r="L172" s="311"/>
      <c r="N172" s="306"/>
      <c r="O172" s="115" t="s">
        <v>44</v>
      </c>
      <c r="P172" s="109">
        <v>2</v>
      </c>
      <c r="Q172" s="115">
        <f t="shared" si="3"/>
        <v>0.15</v>
      </c>
      <c r="R172" s="115" t="s">
        <v>238</v>
      </c>
      <c r="S172" s="115">
        <v>10</v>
      </c>
      <c r="T172" s="124">
        <f t="shared" si="7"/>
        <v>6.1306000000000003</v>
      </c>
      <c r="U172" s="120">
        <f>T169*(S172/SUM(S169:S178))*Q172</f>
        <v>6.1305999999999999E-2</v>
      </c>
      <c r="V172" s="314"/>
      <c r="W172" s="311"/>
      <c r="X172" s="60"/>
      <c r="Y172" s="60"/>
    </row>
    <row r="173" spans="2:26" ht="12" hidden="1">
      <c r="B173" s="306"/>
      <c r="C173" s="115" t="s">
        <v>247</v>
      </c>
      <c r="D173" s="109">
        <v>2</v>
      </c>
      <c r="E173" s="115">
        <f t="shared" si="5"/>
        <v>0.15</v>
      </c>
      <c r="F173" s="115" t="s">
        <v>238</v>
      </c>
      <c r="G173" s="115">
        <v>40</v>
      </c>
      <c r="H173" s="122">
        <v>1703.4713200000001</v>
      </c>
      <c r="I173" s="116">
        <f t="shared" si="2"/>
        <v>6.8138852800000009</v>
      </c>
      <c r="J173" s="117">
        <f t="shared" si="4"/>
        <v>1.0220827920000002</v>
      </c>
      <c r="K173" s="314"/>
      <c r="L173" s="311"/>
      <c r="N173" s="306"/>
      <c r="O173" s="115" t="s">
        <v>247</v>
      </c>
      <c r="P173" s="109">
        <v>2</v>
      </c>
      <c r="Q173" s="115">
        <f t="shared" si="3"/>
        <v>0.15</v>
      </c>
      <c r="R173" s="115" t="s">
        <v>238</v>
      </c>
      <c r="S173" s="115">
        <v>40</v>
      </c>
      <c r="T173" s="124">
        <f t="shared" si="7"/>
        <v>6.1306000000000003</v>
      </c>
      <c r="U173" s="120">
        <f>T169*(S173/SUM(S169:S176))*Q173</f>
        <v>0.28295076923076923</v>
      </c>
      <c r="V173" s="314"/>
      <c r="W173" s="311"/>
    </row>
    <row r="174" spans="2:26" ht="12" hidden="1">
      <c r="B174" s="306"/>
      <c r="C174" s="115" t="s">
        <v>229</v>
      </c>
      <c r="D174" s="109">
        <v>2</v>
      </c>
      <c r="E174" s="115">
        <f t="shared" si="5"/>
        <v>0.15</v>
      </c>
      <c r="F174" s="115" t="s">
        <v>239</v>
      </c>
      <c r="G174" s="115">
        <v>10</v>
      </c>
      <c r="H174" s="122">
        <v>1703.4713200000001</v>
      </c>
      <c r="I174" s="116">
        <f t="shared" si="2"/>
        <v>1.7034713200000002</v>
      </c>
      <c r="J174" s="117">
        <f t="shared" si="4"/>
        <v>0.25552069800000005</v>
      </c>
      <c r="K174" s="314"/>
      <c r="L174" s="311"/>
      <c r="N174" s="306"/>
      <c r="O174" s="115" t="s">
        <v>229</v>
      </c>
      <c r="P174" s="109">
        <v>2</v>
      </c>
      <c r="Q174" s="115">
        <f t="shared" si="3"/>
        <v>0.15</v>
      </c>
      <c r="R174" s="115" t="s">
        <v>239</v>
      </c>
      <c r="S174" s="115">
        <v>10</v>
      </c>
      <c r="T174" s="124">
        <f t="shared" si="7"/>
        <v>6.1306000000000003</v>
      </c>
      <c r="U174" s="120">
        <f>T169*(S174/SUM(S169:S178))*Q174</f>
        <v>6.1305999999999999E-2</v>
      </c>
      <c r="V174" s="314"/>
      <c r="W174" s="311"/>
    </row>
    <row r="175" spans="2:26" ht="12" hidden="1">
      <c r="B175" s="306"/>
      <c r="C175" s="115" t="s">
        <v>246</v>
      </c>
      <c r="D175" s="109">
        <v>2</v>
      </c>
      <c r="E175" s="115">
        <f t="shared" si="5"/>
        <v>0.15</v>
      </c>
      <c r="F175" s="115">
        <v>7.65</v>
      </c>
      <c r="G175" s="115">
        <v>10</v>
      </c>
      <c r="H175" s="122">
        <v>1703.4713200000001</v>
      </c>
      <c r="I175" s="116">
        <f t="shared" si="2"/>
        <v>1.7034713200000002</v>
      </c>
      <c r="J175" s="117">
        <f t="shared" si="4"/>
        <v>0.25552069800000005</v>
      </c>
      <c r="K175" s="314"/>
      <c r="L175" s="311"/>
      <c r="N175" s="306"/>
      <c r="O175" s="115" t="s">
        <v>246</v>
      </c>
      <c r="P175" s="109">
        <v>2</v>
      </c>
      <c r="Q175" s="115">
        <f t="shared" si="3"/>
        <v>0.15</v>
      </c>
      <c r="R175" s="115">
        <v>7.65</v>
      </c>
      <c r="S175" s="115">
        <v>10</v>
      </c>
      <c r="T175" s="124">
        <f t="shared" si="7"/>
        <v>6.1306000000000003</v>
      </c>
      <c r="U175" s="120">
        <f>T169*(S175/SUM(S169:S178))*Q175</f>
        <v>6.1305999999999999E-2</v>
      </c>
      <c r="V175" s="314"/>
      <c r="W175" s="311"/>
    </row>
    <row r="176" spans="2:26" ht="12" hidden="1">
      <c r="B176" s="306"/>
      <c r="C176" s="139" t="s">
        <v>248</v>
      </c>
      <c r="D176" s="109">
        <v>1</v>
      </c>
      <c r="E176" s="115">
        <f t="shared" si="5"/>
        <v>2.5000000000000001E-2</v>
      </c>
      <c r="F176" s="115">
        <v>7.8</v>
      </c>
      <c r="G176" s="115">
        <v>10</v>
      </c>
      <c r="H176" s="122">
        <v>1703.4713200000001</v>
      </c>
      <c r="I176" s="116">
        <f t="shared" si="2"/>
        <v>1.7034713200000002</v>
      </c>
      <c r="J176" s="117">
        <f t="shared" si="4"/>
        <v>4.258678300000001E-2</v>
      </c>
      <c r="K176" s="314"/>
      <c r="L176" s="311"/>
      <c r="N176" s="306"/>
      <c r="O176" s="115" t="s">
        <v>248</v>
      </c>
      <c r="P176" s="109">
        <v>1</v>
      </c>
      <c r="Q176" s="115">
        <f t="shared" si="3"/>
        <v>2.5000000000000001E-2</v>
      </c>
      <c r="R176" s="115">
        <v>7.8</v>
      </c>
      <c r="S176" s="115">
        <v>10</v>
      </c>
      <c r="T176" s="124">
        <f t="shared" si="7"/>
        <v>6.1306000000000003</v>
      </c>
      <c r="U176" s="120">
        <f>T169*(S176/SUM(S169:S178))*Q176</f>
        <v>1.0217666666666667E-2</v>
      </c>
      <c r="V176" s="314"/>
      <c r="W176" s="311"/>
    </row>
    <row r="177" spans="2:24" ht="96" hidden="1">
      <c r="B177" s="306"/>
      <c r="C177" s="140" t="s">
        <v>320</v>
      </c>
      <c r="D177" s="121">
        <v>1</v>
      </c>
      <c r="E177" s="115">
        <f t="shared" si="5"/>
        <v>2.5000000000000001E-2</v>
      </c>
      <c r="F177" s="115"/>
      <c r="G177" s="115">
        <v>10</v>
      </c>
      <c r="H177" s="122">
        <v>1703.4713200000001</v>
      </c>
      <c r="I177" s="116">
        <f t="shared" si="2"/>
        <v>1.7034713200000002</v>
      </c>
      <c r="J177" s="117">
        <f t="shared" si="4"/>
        <v>4.258678300000001E-2</v>
      </c>
      <c r="K177" s="314"/>
      <c r="L177" s="311"/>
      <c r="N177" s="306"/>
      <c r="O177" s="118" t="s">
        <v>320</v>
      </c>
      <c r="P177" s="121">
        <v>1</v>
      </c>
      <c r="Q177" s="115">
        <f t="shared" si="3"/>
        <v>2.5000000000000001E-2</v>
      </c>
      <c r="R177" s="115"/>
      <c r="S177" s="115">
        <v>10</v>
      </c>
      <c r="T177" s="124">
        <f t="shared" si="7"/>
        <v>6.1306000000000003</v>
      </c>
      <c r="U177" s="120">
        <f>T170*(S177/SUM(S169:S178))*Q177</f>
        <v>1.0217666666666667E-2</v>
      </c>
      <c r="V177" s="314"/>
      <c r="W177" s="311"/>
    </row>
    <row r="178" spans="2:24" ht="96" hidden="1">
      <c r="B178" s="307"/>
      <c r="C178" s="140" t="s">
        <v>320</v>
      </c>
      <c r="D178" s="121">
        <v>1</v>
      </c>
      <c r="E178" s="115">
        <f t="shared" si="5"/>
        <v>2.5000000000000001E-2</v>
      </c>
      <c r="F178" s="115"/>
      <c r="G178" s="115">
        <v>10</v>
      </c>
      <c r="H178" s="122">
        <v>1703.4713200000001</v>
      </c>
      <c r="I178" s="116">
        <f t="shared" si="2"/>
        <v>1.7034713200000002</v>
      </c>
      <c r="J178" s="117">
        <f t="shared" si="4"/>
        <v>4.258678300000001E-2</v>
      </c>
      <c r="K178" s="315"/>
      <c r="L178" s="311"/>
      <c r="N178" s="307"/>
      <c r="O178" s="118" t="s">
        <v>320</v>
      </c>
      <c r="P178" s="121">
        <v>1</v>
      </c>
      <c r="Q178" s="115">
        <f t="shared" si="3"/>
        <v>2.5000000000000001E-2</v>
      </c>
      <c r="R178" s="115"/>
      <c r="S178" s="115">
        <v>10</v>
      </c>
      <c r="T178" s="124">
        <f t="shared" si="7"/>
        <v>6.1306000000000003</v>
      </c>
      <c r="U178" s="120">
        <f>T171*(S178/SUM(S169:S178))*Q178</f>
        <v>1.0217666666666667E-2</v>
      </c>
      <c r="V178" s="315"/>
      <c r="W178" s="311"/>
    </row>
    <row r="179" spans="2:24" ht="12" hidden="1">
      <c r="B179" s="304" t="s">
        <v>64</v>
      </c>
      <c r="C179" s="71" t="s">
        <v>231</v>
      </c>
      <c r="D179" s="109">
        <v>2</v>
      </c>
      <c r="E179" s="115">
        <f t="shared" si="5"/>
        <v>0.15</v>
      </c>
      <c r="F179" s="115">
        <v>1.3</v>
      </c>
      <c r="G179" s="115">
        <v>10</v>
      </c>
      <c r="H179" s="122">
        <v>1048.294834</v>
      </c>
      <c r="I179" s="116">
        <f t="shared" si="2"/>
        <v>1.048294834</v>
      </c>
      <c r="J179" s="117">
        <f t="shared" si="4"/>
        <v>0.1572442251</v>
      </c>
      <c r="K179" s="310">
        <f>SUM(J179:J186)</f>
        <v>1.2579538007999997</v>
      </c>
      <c r="L179" s="311"/>
      <c r="N179" s="304" t="s">
        <v>64</v>
      </c>
      <c r="O179" s="71" t="s">
        <v>231</v>
      </c>
      <c r="P179" s="109">
        <v>2</v>
      </c>
      <c r="Q179" s="115">
        <f t="shared" si="3"/>
        <v>0.15</v>
      </c>
      <c r="R179" s="115">
        <v>1.3</v>
      </c>
      <c r="S179" s="115">
        <v>10</v>
      </c>
      <c r="T179" s="122">
        <f>0.75636+0.348629+0.002986+0.019729+0.028793+0.054449+0.007742+0.010278+0.00596+0.004244+0.096571</f>
        <v>1.3357409999999998</v>
      </c>
      <c r="U179" s="120">
        <f>T179*(S179/SUM(S179:S186))*Q179</f>
        <v>2.2262349999999997E-2</v>
      </c>
      <c r="V179" s="310">
        <f>SUM(U179:U186)</f>
        <v>0.1780988</v>
      </c>
      <c r="W179" s="311"/>
    </row>
    <row r="180" spans="2:24" ht="12" hidden="1">
      <c r="B180" s="304"/>
      <c r="C180" s="71" t="s">
        <v>235</v>
      </c>
      <c r="D180" s="109">
        <v>2</v>
      </c>
      <c r="E180" s="115">
        <f t="shared" si="5"/>
        <v>0.15</v>
      </c>
      <c r="F180" s="115">
        <v>3.15</v>
      </c>
      <c r="G180" s="115">
        <v>10</v>
      </c>
      <c r="H180" s="122">
        <v>1048.294834</v>
      </c>
      <c r="I180" s="116">
        <f t="shared" si="2"/>
        <v>1.048294834</v>
      </c>
      <c r="J180" s="117">
        <f t="shared" si="4"/>
        <v>0.1572442251</v>
      </c>
      <c r="K180" s="310"/>
      <c r="L180" s="311"/>
      <c r="N180" s="304"/>
      <c r="O180" s="71" t="s">
        <v>235</v>
      </c>
      <c r="P180" s="109">
        <v>2</v>
      </c>
      <c r="Q180" s="115">
        <f t="shared" si="3"/>
        <v>0.15</v>
      </c>
      <c r="R180" s="115">
        <v>3.15</v>
      </c>
      <c r="S180" s="115">
        <v>10</v>
      </c>
      <c r="T180" s="122">
        <f>0.75636+0.348629+0.002986+0.019729+0.028793+0.054449+0.007742+0.010278+0.00596+0.004244+0.096571</f>
        <v>1.3357409999999998</v>
      </c>
      <c r="U180" s="120">
        <f>T180*(S180/SUM(S179:S186))*Q180</f>
        <v>2.2262349999999997E-2</v>
      </c>
      <c r="V180" s="310"/>
      <c r="W180" s="311"/>
    </row>
    <row r="181" spans="2:24" ht="12" hidden="1">
      <c r="B181" s="304"/>
      <c r="C181" s="71" t="s">
        <v>229</v>
      </c>
      <c r="D181" s="109">
        <v>3</v>
      </c>
      <c r="E181" s="115">
        <f t="shared" si="5"/>
        <v>0.375</v>
      </c>
      <c r="F181" s="115">
        <v>3.15</v>
      </c>
      <c r="G181" s="115">
        <v>10</v>
      </c>
      <c r="H181" s="122">
        <v>1048.294834</v>
      </c>
      <c r="I181" s="116">
        <f t="shared" si="2"/>
        <v>1.048294834</v>
      </c>
      <c r="J181" s="117">
        <f t="shared" si="4"/>
        <v>0.39311056275</v>
      </c>
      <c r="K181" s="310"/>
      <c r="L181" s="311"/>
      <c r="N181" s="304"/>
      <c r="O181" s="71" t="s">
        <v>229</v>
      </c>
      <c r="P181" s="109">
        <v>3</v>
      </c>
      <c r="Q181" s="115">
        <f t="shared" si="3"/>
        <v>0.375</v>
      </c>
      <c r="R181" s="115">
        <v>3.15</v>
      </c>
      <c r="S181" s="115">
        <v>10</v>
      </c>
      <c r="T181" s="122">
        <f t="shared" ref="T181:T186" si="8">0.75636+0.348629+0.002986+0.019729+0.028793+0.054449+0.007742+0.010278+0.00596+0.004244+0.096571</f>
        <v>1.3357409999999998</v>
      </c>
      <c r="U181" s="120">
        <f>T181*(S181/SUM(S179:S186))*Q181</f>
        <v>5.5655874999999994E-2</v>
      </c>
      <c r="V181" s="310"/>
      <c r="W181" s="311"/>
    </row>
    <row r="182" spans="2:24" ht="12" hidden="1">
      <c r="B182" s="304"/>
      <c r="C182" s="71" t="s">
        <v>229</v>
      </c>
      <c r="D182" s="109">
        <v>2</v>
      </c>
      <c r="E182" s="115">
        <f t="shared" si="5"/>
        <v>0.15</v>
      </c>
      <c r="F182" s="115">
        <v>8.4</v>
      </c>
      <c r="G182" s="115">
        <v>5</v>
      </c>
      <c r="H182" s="122">
        <v>1048.294834</v>
      </c>
      <c r="I182" s="116">
        <f t="shared" si="2"/>
        <v>0.524147417</v>
      </c>
      <c r="J182" s="117">
        <f t="shared" si="4"/>
        <v>7.8622112549999998E-2</v>
      </c>
      <c r="K182" s="310"/>
      <c r="L182" s="311"/>
      <c r="N182" s="304"/>
      <c r="O182" s="71" t="s">
        <v>229</v>
      </c>
      <c r="P182" s="109">
        <v>2</v>
      </c>
      <c r="Q182" s="115">
        <f t="shared" si="3"/>
        <v>0.15</v>
      </c>
      <c r="R182" s="115">
        <v>8.4</v>
      </c>
      <c r="S182" s="115">
        <v>5</v>
      </c>
      <c r="T182" s="122">
        <f t="shared" si="8"/>
        <v>1.3357409999999998</v>
      </c>
      <c r="U182" s="120">
        <f>T182*(S182/SUM(S179:S186))*Q182</f>
        <v>1.1131174999999998E-2</v>
      </c>
      <c r="V182" s="310"/>
      <c r="W182" s="311"/>
    </row>
    <row r="183" spans="2:24" ht="12" hidden="1">
      <c r="B183" s="304"/>
      <c r="C183" s="71" t="s">
        <v>227</v>
      </c>
      <c r="D183" s="109">
        <v>2</v>
      </c>
      <c r="E183" s="115">
        <f t="shared" si="5"/>
        <v>0.15</v>
      </c>
      <c r="F183" s="115" t="s">
        <v>240</v>
      </c>
      <c r="G183" s="115">
        <v>25</v>
      </c>
      <c r="H183" s="122">
        <v>1048.294834</v>
      </c>
      <c r="I183" s="116">
        <f t="shared" si="2"/>
        <v>2.620737085</v>
      </c>
      <c r="J183" s="117">
        <f t="shared" si="4"/>
        <v>0.39311056275</v>
      </c>
      <c r="K183" s="310"/>
      <c r="L183" s="311"/>
      <c r="N183" s="304"/>
      <c r="O183" s="71" t="s">
        <v>227</v>
      </c>
      <c r="P183" s="109">
        <v>2</v>
      </c>
      <c r="Q183" s="115">
        <f t="shared" si="3"/>
        <v>0.15</v>
      </c>
      <c r="R183" s="115" t="s">
        <v>240</v>
      </c>
      <c r="S183" s="115">
        <v>25</v>
      </c>
      <c r="T183" s="122">
        <f t="shared" si="8"/>
        <v>1.3357409999999998</v>
      </c>
      <c r="U183" s="120">
        <f>T183*(S183/SUM(S179:S186))*Q183</f>
        <v>5.5655874999999994E-2</v>
      </c>
      <c r="V183" s="310"/>
      <c r="W183" s="311"/>
    </row>
    <row r="184" spans="2:24" ht="12" hidden="1">
      <c r="B184" s="304"/>
      <c r="C184" s="139" t="s">
        <v>250</v>
      </c>
      <c r="D184" s="109">
        <v>1</v>
      </c>
      <c r="E184" s="115">
        <f t="shared" si="5"/>
        <v>2.5000000000000001E-2</v>
      </c>
      <c r="F184" s="115"/>
      <c r="G184" s="115">
        <v>10</v>
      </c>
      <c r="H184" s="122">
        <v>1048.294834</v>
      </c>
      <c r="I184" s="116">
        <f t="shared" si="2"/>
        <v>1.048294834</v>
      </c>
      <c r="J184" s="117">
        <f t="shared" si="4"/>
        <v>2.6207370850000002E-2</v>
      </c>
      <c r="K184" s="310"/>
      <c r="L184" s="311"/>
      <c r="N184" s="304"/>
      <c r="O184" s="115" t="s">
        <v>250</v>
      </c>
      <c r="P184" s="109">
        <v>1</v>
      </c>
      <c r="Q184" s="115">
        <f t="shared" si="3"/>
        <v>2.5000000000000001E-2</v>
      </c>
      <c r="R184" s="115"/>
      <c r="S184" s="115">
        <v>10</v>
      </c>
      <c r="T184" s="122">
        <f t="shared" si="8"/>
        <v>1.3357409999999998</v>
      </c>
      <c r="U184" s="120">
        <f>T184*(S184/SUM(S179:S186))*Q184</f>
        <v>3.7103916666666663E-3</v>
      </c>
      <c r="V184" s="310"/>
      <c r="W184" s="311"/>
    </row>
    <row r="185" spans="2:24" ht="84" hidden="1">
      <c r="B185" s="304"/>
      <c r="C185" s="140" t="s">
        <v>252</v>
      </c>
      <c r="D185" s="109">
        <v>1</v>
      </c>
      <c r="E185" s="115">
        <f>VLOOKUP(D185,$AL$20:$AM$24,2,FALSE)</f>
        <v>2.5000000000000001E-2</v>
      </c>
      <c r="F185" s="115"/>
      <c r="G185" s="115">
        <v>10</v>
      </c>
      <c r="H185" s="122">
        <v>1048.294834</v>
      </c>
      <c r="I185" s="116">
        <f t="shared" si="2"/>
        <v>1.048294834</v>
      </c>
      <c r="J185" s="117">
        <f t="shared" si="4"/>
        <v>2.6207370850000002E-2</v>
      </c>
      <c r="K185" s="310"/>
      <c r="L185" s="311"/>
      <c r="N185" s="304"/>
      <c r="O185" s="118" t="s">
        <v>252</v>
      </c>
      <c r="P185" s="109">
        <v>1</v>
      </c>
      <c r="Q185" s="115">
        <f>VLOOKUP(P185,$AL$20:$AM$24,2,FALSE)</f>
        <v>2.5000000000000001E-2</v>
      </c>
      <c r="R185" s="115"/>
      <c r="S185" s="115">
        <v>10</v>
      </c>
      <c r="T185" s="122">
        <f t="shared" si="8"/>
        <v>1.3357409999999998</v>
      </c>
      <c r="U185" s="120">
        <f>T185*(S185/SUM(S179:S186))*Q185</f>
        <v>3.7103916666666663E-3</v>
      </c>
      <c r="V185" s="310"/>
      <c r="W185" s="311"/>
    </row>
    <row r="186" spans="2:24" ht="48" hidden="1">
      <c r="B186" s="304"/>
      <c r="C186" s="140" t="s">
        <v>251</v>
      </c>
      <c r="D186" s="109">
        <v>1</v>
      </c>
      <c r="E186" s="115">
        <f>VLOOKUP(D186,$AL$20:$AM$24,2,FALSE)</f>
        <v>2.5000000000000001E-2</v>
      </c>
      <c r="F186" s="115"/>
      <c r="G186" s="115">
        <v>10</v>
      </c>
      <c r="H186" s="122">
        <v>1048.294834</v>
      </c>
      <c r="I186" s="116">
        <f t="shared" si="2"/>
        <v>1.048294834</v>
      </c>
      <c r="J186" s="117">
        <f t="shared" si="4"/>
        <v>2.6207370850000002E-2</v>
      </c>
      <c r="K186" s="310"/>
      <c r="L186" s="311"/>
      <c r="N186" s="304"/>
      <c r="O186" s="118" t="s">
        <v>251</v>
      </c>
      <c r="P186" s="109">
        <v>1</v>
      </c>
      <c r="Q186" s="115">
        <f>VLOOKUP(P186,$AL$20:$AM$24,2,FALSE)</f>
        <v>2.5000000000000001E-2</v>
      </c>
      <c r="R186" s="115"/>
      <c r="S186" s="115">
        <v>10</v>
      </c>
      <c r="T186" s="122">
        <f t="shared" si="8"/>
        <v>1.3357409999999998</v>
      </c>
      <c r="U186" s="120">
        <f>T186*(S186/SUM(S179:S186))*Q186</f>
        <v>3.7103916666666663E-3</v>
      </c>
      <c r="V186" s="310"/>
      <c r="W186" s="311"/>
    </row>
    <row r="187" spans="2:24" ht="12" hidden="1">
      <c r="B187" s="115" t="s">
        <v>65</v>
      </c>
      <c r="C187" s="115" t="s">
        <v>228</v>
      </c>
      <c r="D187" s="109">
        <v>2</v>
      </c>
      <c r="E187" s="115">
        <f t="shared" si="5"/>
        <v>0.15</v>
      </c>
      <c r="F187" s="115">
        <v>5</v>
      </c>
      <c r="G187" s="115">
        <v>10</v>
      </c>
      <c r="H187" s="123">
        <v>343.39</v>
      </c>
      <c r="I187" s="116">
        <f t="shared" si="2"/>
        <v>0.34338999999999997</v>
      </c>
      <c r="J187" s="117">
        <f t="shared" si="4"/>
        <v>5.1508499999999992E-2</v>
      </c>
      <c r="K187" s="119">
        <f>J187</f>
        <v>5.1508499999999992E-2</v>
      </c>
      <c r="L187" s="311"/>
      <c r="N187" s="115" t="s">
        <v>65</v>
      </c>
      <c r="O187" s="115" t="s">
        <v>228</v>
      </c>
      <c r="P187" s="109">
        <v>2</v>
      </c>
      <c r="Q187" s="115">
        <f t="shared" ref="Q187" si="9">VLOOKUP(P187,$AL$20:$AM$24,2,FALSE)</f>
        <v>0.15</v>
      </c>
      <c r="R187" s="115">
        <v>5</v>
      </c>
      <c r="S187" s="115">
        <v>10</v>
      </c>
      <c r="T187" s="125">
        <v>0</v>
      </c>
      <c r="U187" s="117">
        <f>T187*Q187</f>
        <v>0</v>
      </c>
      <c r="V187" s="113">
        <f>U187</f>
        <v>0</v>
      </c>
      <c r="W187" s="311"/>
    </row>
    <row r="188" spans="2:24" hidden="1">
      <c r="B188" s="93"/>
      <c r="C188" s="93"/>
      <c r="D188" s="92"/>
      <c r="E188" s="93"/>
      <c r="F188" s="93"/>
      <c r="G188" s="107"/>
      <c r="H188" s="95"/>
      <c r="I188" s="96"/>
      <c r="J188" s="97" t="s">
        <v>47</v>
      </c>
      <c r="K188" s="108">
        <f>SUM(K162:K187)</f>
        <v>13.544459804300001</v>
      </c>
      <c r="U188" s="97" t="s">
        <v>47</v>
      </c>
      <c r="V188" s="108">
        <f>SUM(V162:V187)</f>
        <v>2.4891437865384614</v>
      </c>
    </row>
    <row r="189" spans="2:24" hidden="1">
      <c r="B189" s="93"/>
      <c r="C189" s="93"/>
      <c r="D189" s="92"/>
      <c r="E189" s="93"/>
      <c r="F189" s="93"/>
      <c r="G189" s="93"/>
      <c r="H189" s="95"/>
      <c r="I189" s="96"/>
      <c r="J189" s="97"/>
      <c r="K189" s="91"/>
    </row>
    <row r="190" spans="2:24" hidden="1">
      <c r="B190" s="93"/>
      <c r="C190" s="93"/>
      <c r="D190" s="92"/>
      <c r="E190" s="93"/>
      <c r="F190" s="93"/>
      <c r="G190" s="93"/>
      <c r="H190" s="95"/>
      <c r="I190" s="93"/>
      <c r="J190" s="93"/>
      <c r="K190" s="96"/>
      <c r="L190" s="97"/>
      <c r="M190" s="91"/>
      <c r="W190" s="97"/>
      <c r="X190" s="91"/>
    </row>
    <row r="191" spans="2:24" hidden="1">
      <c r="B191" s="93"/>
      <c r="C191" s="93"/>
      <c r="D191" s="92"/>
      <c r="E191" s="93"/>
      <c r="F191" s="93"/>
      <c r="G191" s="93"/>
      <c r="H191" s="95"/>
      <c r="I191" s="93"/>
      <c r="J191" s="93"/>
      <c r="K191" s="96"/>
      <c r="L191" s="97"/>
      <c r="M191" s="91"/>
    </row>
    <row r="192" spans="2:24">
      <c r="B192" s="93"/>
      <c r="C192" s="93"/>
      <c r="D192" s="92"/>
      <c r="E192" s="93"/>
      <c r="F192" s="93"/>
      <c r="G192" s="93"/>
      <c r="H192" s="95"/>
      <c r="I192" s="93"/>
      <c r="J192" s="93"/>
      <c r="K192" s="96"/>
      <c r="L192" s="97"/>
      <c r="M192" s="91"/>
    </row>
    <row r="193" spans="1:21">
      <c r="A193" s="60"/>
      <c r="B193" s="93"/>
      <c r="C193" s="93"/>
      <c r="D193" s="92"/>
      <c r="E193" s="93"/>
      <c r="F193" s="93"/>
      <c r="G193" s="93"/>
      <c r="H193" s="95"/>
      <c r="I193" s="93"/>
      <c r="J193" s="93"/>
      <c r="K193" s="96"/>
      <c r="L193" s="97"/>
      <c r="M193" s="91"/>
    </row>
    <row r="194" spans="1:21" ht="36.6" thickBot="1">
      <c r="A194" s="60"/>
      <c r="B194" s="205" t="s">
        <v>381</v>
      </c>
      <c r="C194" s="205" t="s">
        <v>43</v>
      </c>
      <c r="D194" s="205" t="s">
        <v>45</v>
      </c>
      <c r="E194" s="206" t="s">
        <v>389</v>
      </c>
      <c r="F194" s="207" t="s">
        <v>390</v>
      </c>
      <c r="G194" s="206" t="s">
        <v>419</v>
      </c>
      <c r="H194" s="206" t="s">
        <v>391</v>
      </c>
      <c r="I194" s="206" t="s">
        <v>392</v>
      </c>
      <c r="J194" s="208" t="s">
        <v>244</v>
      </c>
      <c r="K194" s="230" t="s">
        <v>393</v>
      </c>
    </row>
    <row r="195" spans="1:21" s="190" customFormat="1" ht="15.6" customHeight="1">
      <c r="B195" s="304" t="s">
        <v>66</v>
      </c>
      <c r="C195" s="305" t="s">
        <v>330</v>
      </c>
      <c r="D195" s="163">
        <v>3</v>
      </c>
      <c r="E195" s="115">
        <f>VLOOKUP(D195,$AL$20:$AM$24,2,FALSE)</f>
        <v>0.375</v>
      </c>
      <c r="F195" s="114">
        <v>10</v>
      </c>
      <c r="G195" s="141">
        <v>40</v>
      </c>
      <c r="H195" s="116">
        <f>F195*G195/10000</f>
        <v>0.04</v>
      </c>
      <c r="I195" s="117">
        <f>H195*E195</f>
        <v>1.4999999999999999E-2</v>
      </c>
      <c r="J195" s="312">
        <f>SUM(I195:I196)</f>
        <v>0.09</v>
      </c>
      <c r="K195" s="316">
        <f>ROUNDDOWN(SUM(J195:J199),6)</f>
        <v>0.20399999999999999</v>
      </c>
      <c r="L195" s="232"/>
    </row>
    <row r="196" spans="1:21" s="190" customFormat="1" ht="15.6" customHeight="1">
      <c r="B196" s="304"/>
      <c r="C196" s="306"/>
      <c r="D196" s="163">
        <v>4</v>
      </c>
      <c r="E196" s="115">
        <f>VLOOKUP(D196,$AL$20:$AM$24,2,FALSE)</f>
        <v>0.625</v>
      </c>
      <c r="F196" s="114">
        <v>30</v>
      </c>
      <c r="G196" s="141">
        <v>40</v>
      </c>
      <c r="H196" s="116">
        <f>F196*G196/10000</f>
        <v>0.12</v>
      </c>
      <c r="I196" s="117">
        <f t="shared" ref="I196:I204" si="10">H196*E196</f>
        <v>7.4999999999999997E-2</v>
      </c>
      <c r="J196" s="312"/>
      <c r="K196" s="317"/>
    </row>
    <row r="197" spans="1:21" s="190" customFormat="1" ht="15.6" customHeight="1">
      <c r="B197" s="304" t="s">
        <v>67</v>
      </c>
      <c r="C197" s="306"/>
      <c r="D197" s="163">
        <v>3</v>
      </c>
      <c r="E197" s="115">
        <f t="shared" ref="E197:E202" si="11">VLOOKUP(D197,$AL$20:$AM$24,2,FALSE)</f>
        <v>0.375</v>
      </c>
      <c r="F197" s="114">
        <v>10</v>
      </c>
      <c r="G197" s="141">
        <v>40</v>
      </c>
      <c r="H197" s="116">
        <f>F197*G197/10000</f>
        <v>0.04</v>
      </c>
      <c r="I197" s="117">
        <f t="shared" si="10"/>
        <v>1.4999999999999999E-2</v>
      </c>
      <c r="J197" s="312">
        <f>SUM(I197:I198)</f>
        <v>0.09</v>
      </c>
      <c r="K197" s="317"/>
    </row>
    <row r="198" spans="1:21" s="190" customFormat="1" ht="15.6" customHeight="1">
      <c r="B198" s="304"/>
      <c r="C198" s="306"/>
      <c r="D198" s="163">
        <v>4</v>
      </c>
      <c r="E198" s="115">
        <f t="shared" si="11"/>
        <v>0.625</v>
      </c>
      <c r="F198" s="114">
        <v>30</v>
      </c>
      <c r="G198" s="141">
        <v>40</v>
      </c>
      <c r="H198" s="116">
        <f>F198*G198/10000</f>
        <v>0.12</v>
      </c>
      <c r="I198" s="117">
        <f t="shared" si="10"/>
        <v>7.4999999999999997E-2</v>
      </c>
      <c r="J198" s="339"/>
      <c r="K198" s="317"/>
      <c r="U198" s="191"/>
    </row>
    <row r="199" spans="1:21" s="190" customFormat="1" ht="15.6" customHeight="1" thickBot="1">
      <c r="B199" s="163" t="s">
        <v>68</v>
      </c>
      <c r="C199" s="307"/>
      <c r="D199" s="163">
        <v>2</v>
      </c>
      <c r="E199" s="115">
        <f t="shared" si="11"/>
        <v>0.15</v>
      </c>
      <c r="F199" s="114">
        <v>40</v>
      </c>
      <c r="G199" s="141">
        <v>40</v>
      </c>
      <c r="H199" s="116">
        <f t="shared" ref="H199:H203" si="12">F199*G199/10000</f>
        <v>0.16</v>
      </c>
      <c r="I199" s="117">
        <f t="shared" si="10"/>
        <v>2.4E-2</v>
      </c>
      <c r="J199" s="231">
        <f>I199</f>
        <v>2.4E-2</v>
      </c>
      <c r="K199" s="318"/>
    </row>
    <row r="200" spans="1:21" s="190" customFormat="1" ht="15.6" customHeight="1">
      <c r="B200" s="163" t="s">
        <v>225</v>
      </c>
      <c r="C200" s="305" t="s">
        <v>334</v>
      </c>
      <c r="D200" s="163">
        <v>5</v>
      </c>
      <c r="E200" s="115">
        <f t="shared" si="11"/>
        <v>0.875</v>
      </c>
      <c r="F200" s="114">
        <v>40</v>
      </c>
      <c r="G200" s="141">
        <v>20</v>
      </c>
      <c r="H200" s="116">
        <f t="shared" si="12"/>
        <v>0.08</v>
      </c>
      <c r="I200" s="117">
        <f t="shared" si="10"/>
        <v>7.0000000000000007E-2</v>
      </c>
      <c r="J200" s="319">
        <f>SUM(I200:I201)</f>
        <v>0.14000000000000001</v>
      </c>
      <c r="K200" s="316">
        <f>ROUNDDOWN(SUM(J200:J204),6)</f>
        <v>0.25</v>
      </c>
    </row>
    <row r="201" spans="1:21" s="190" customFormat="1" ht="15.6" customHeight="1">
      <c r="B201" s="163" t="s">
        <v>223</v>
      </c>
      <c r="C201" s="306"/>
      <c r="D201" s="163">
        <v>5</v>
      </c>
      <c r="E201" s="115">
        <f>VLOOKUP(D201,$AL$20:$AM$24,2,FALSE)</f>
        <v>0.875</v>
      </c>
      <c r="F201" s="114">
        <v>40</v>
      </c>
      <c r="G201" s="141">
        <v>20</v>
      </c>
      <c r="H201" s="116">
        <f t="shared" si="12"/>
        <v>0.08</v>
      </c>
      <c r="I201" s="117">
        <f t="shared" si="10"/>
        <v>7.0000000000000007E-2</v>
      </c>
      <c r="J201" s="320"/>
      <c r="K201" s="346"/>
    </row>
    <row r="202" spans="1:21" s="190" customFormat="1" ht="15.6" customHeight="1">
      <c r="B202" s="163" t="s">
        <v>226</v>
      </c>
      <c r="C202" s="306"/>
      <c r="D202" s="163">
        <v>4</v>
      </c>
      <c r="E202" s="115">
        <f t="shared" si="11"/>
        <v>0.625</v>
      </c>
      <c r="F202" s="114">
        <v>40</v>
      </c>
      <c r="G202" s="141">
        <v>20</v>
      </c>
      <c r="H202" s="116">
        <f t="shared" si="12"/>
        <v>0.08</v>
      </c>
      <c r="I202" s="117">
        <f t="shared" si="10"/>
        <v>0.05</v>
      </c>
      <c r="J202" s="321">
        <f>SUM(I202:I204)</f>
        <v>0.11000000000000001</v>
      </c>
      <c r="K202" s="346"/>
    </row>
    <row r="203" spans="1:21" s="190" customFormat="1" ht="15.6" customHeight="1">
      <c r="B203" s="304" t="s">
        <v>224</v>
      </c>
      <c r="C203" s="306"/>
      <c r="D203" s="163">
        <v>4</v>
      </c>
      <c r="E203" s="115">
        <f>VLOOKUP(D203,$AL$20:$AM$24,2,FALSE)</f>
        <v>0.625</v>
      </c>
      <c r="F203" s="114">
        <v>20</v>
      </c>
      <c r="G203" s="141">
        <v>20</v>
      </c>
      <c r="H203" s="116">
        <f t="shared" si="12"/>
        <v>0.04</v>
      </c>
      <c r="I203" s="117">
        <f t="shared" si="10"/>
        <v>2.5000000000000001E-2</v>
      </c>
      <c r="J203" s="322"/>
      <c r="K203" s="346"/>
    </row>
    <row r="204" spans="1:21" s="190" customFormat="1" ht="15.6" customHeight="1" thickBot="1">
      <c r="B204" s="304"/>
      <c r="C204" s="307"/>
      <c r="D204" s="163">
        <v>5</v>
      </c>
      <c r="E204" s="115">
        <f>VLOOKUP(D204,$AL$20:$AM$24,2,FALSE)</f>
        <v>0.875</v>
      </c>
      <c r="F204" s="114">
        <v>20</v>
      </c>
      <c r="G204" s="141">
        <v>20</v>
      </c>
      <c r="H204" s="116">
        <f>F204*G204/10000</f>
        <v>0.04</v>
      </c>
      <c r="I204" s="117">
        <f t="shared" si="10"/>
        <v>3.5000000000000003E-2</v>
      </c>
      <c r="J204" s="323"/>
      <c r="K204" s="347"/>
    </row>
    <row r="205" spans="1:21">
      <c r="B205" s="7"/>
      <c r="C205" s="7"/>
      <c r="D205" s="7"/>
      <c r="E205" s="7"/>
      <c r="F205" s="7"/>
      <c r="G205" s="7"/>
      <c r="H205" s="7"/>
      <c r="I205" s="7"/>
      <c r="J205" s="7"/>
    </row>
    <row r="208" spans="1:21" ht="40.5" customHeight="1" thickBot="1">
      <c r="B208" s="205" t="s">
        <v>381</v>
      </c>
      <c r="C208" s="205" t="s">
        <v>43</v>
      </c>
      <c r="D208" s="205" t="s">
        <v>45</v>
      </c>
      <c r="E208" s="206" t="s">
        <v>389</v>
      </c>
      <c r="F208" s="363" t="s">
        <v>420</v>
      </c>
      <c r="G208" s="364"/>
      <c r="H208" s="207" t="s">
        <v>401</v>
      </c>
      <c r="I208" s="207" t="s">
        <v>402</v>
      </c>
      <c r="J208" s="270" t="s">
        <v>361</v>
      </c>
    </row>
    <row r="209" spans="2:10" ht="18.600000000000001" customHeight="1">
      <c r="B209" s="305" t="s">
        <v>62</v>
      </c>
      <c r="C209" s="354" t="s">
        <v>330</v>
      </c>
      <c r="D209" s="142">
        <v>3</v>
      </c>
      <c r="E209" s="141">
        <f t="shared" ref="E209:E221" si="13">VLOOKUP(D209,$AL$20:$AM$24,2,FALSE)</f>
        <v>0.375</v>
      </c>
      <c r="F209" s="275" t="s">
        <v>143</v>
      </c>
      <c r="G209" s="246">
        <v>10</v>
      </c>
      <c r="H209" s="256">
        <f>ROUNDDOWN(SUM('春藻場面積（修正）'!C5:C6),5)</f>
        <v>1.6739999999999999</v>
      </c>
      <c r="I209" s="269">
        <f>H209*E209</f>
        <v>0.62775000000000003</v>
      </c>
      <c r="J209" s="351">
        <f>ROUNDDOWN(SUM(I209:I212),6)</f>
        <v>4.8916750000000002</v>
      </c>
    </row>
    <row r="210" spans="2:10" ht="18.600000000000001" customHeight="1">
      <c r="B210" s="306"/>
      <c r="C210" s="355"/>
      <c r="D210" s="142">
        <v>2</v>
      </c>
      <c r="E210" s="141">
        <f t="shared" si="13"/>
        <v>0.15</v>
      </c>
      <c r="F210" s="275" t="s">
        <v>363</v>
      </c>
      <c r="G210" s="246">
        <v>55</v>
      </c>
      <c r="H210" s="256">
        <f>ROUNDDOWN(SUM('春藻場面積（修正）'!C7:C17),5)</f>
        <v>9.282</v>
      </c>
      <c r="I210" s="269">
        <f t="shared" ref="I210:I221" si="14">H210*E210</f>
        <v>1.3922999999999999</v>
      </c>
      <c r="J210" s="352"/>
    </row>
    <row r="211" spans="2:10" ht="18.600000000000001" customHeight="1">
      <c r="B211" s="306"/>
      <c r="C211" s="355"/>
      <c r="D211" s="142">
        <v>5</v>
      </c>
      <c r="E211" s="141">
        <f t="shared" si="13"/>
        <v>0.875</v>
      </c>
      <c r="F211" s="275" t="s">
        <v>374</v>
      </c>
      <c r="G211" s="246">
        <v>15</v>
      </c>
      <c r="H211" s="256">
        <f>ROUNDDOWN(SUM('春藻場面積（修正）'!C18:C20),5)</f>
        <v>2.552</v>
      </c>
      <c r="I211" s="269">
        <f t="shared" si="14"/>
        <v>2.2330000000000001</v>
      </c>
      <c r="J211" s="352"/>
    </row>
    <row r="212" spans="2:10" ht="18.600000000000001" customHeight="1" thickBot="1">
      <c r="B212" s="306"/>
      <c r="C212" s="356"/>
      <c r="D212" s="142">
        <v>3</v>
      </c>
      <c r="E212" s="141">
        <f t="shared" si="13"/>
        <v>0.375</v>
      </c>
      <c r="F212" s="275" t="s">
        <v>182</v>
      </c>
      <c r="G212" s="246">
        <v>10</v>
      </c>
      <c r="H212" s="256">
        <f>ROUNDDOWN(SUM('春藻場面積（修正）'!C21:C22),5)</f>
        <v>1.7030000000000001</v>
      </c>
      <c r="I212" s="269">
        <f t="shared" si="14"/>
        <v>0.638625</v>
      </c>
      <c r="J212" s="353"/>
    </row>
    <row r="213" spans="2:10" ht="18.600000000000001" customHeight="1" thickBot="1">
      <c r="B213" s="307"/>
      <c r="C213" s="142" t="s">
        <v>334</v>
      </c>
      <c r="D213" s="142">
        <v>2</v>
      </c>
      <c r="E213" s="141">
        <f t="shared" si="13"/>
        <v>0.15</v>
      </c>
      <c r="F213" s="275" t="s">
        <v>364</v>
      </c>
      <c r="G213" s="246">
        <v>15</v>
      </c>
      <c r="H213" s="256">
        <f>SUM('春藻場面積（修正）'!C23:C25)</f>
        <v>2.5570000000000008</v>
      </c>
      <c r="I213" s="269">
        <f t="shared" si="14"/>
        <v>0.38355000000000011</v>
      </c>
      <c r="J213" s="271">
        <f>ROUNDDOWN(I213,6)</f>
        <v>0.38355</v>
      </c>
    </row>
    <row r="214" spans="2:10" ht="18.600000000000001" customHeight="1">
      <c r="B214" s="305" t="s">
        <v>63</v>
      </c>
      <c r="C214" s="357" t="s">
        <v>330</v>
      </c>
      <c r="D214" s="142">
        <v>3</v>
      </c>
      <c r="E214" s="141">
        <f t="shared" si="13"/>
        <v>0.375</v>
      </c>
      <c r="F214" s="275" t="s">
        <v>365</v>
      </c>
      <c r="G214" s="246">
        <v>30</v>
      </c>
      <c r="H214" s="256">
        <f>SUM('春藻場面積（修正）'!D5:D10)</f>
        <v>4.8099999999999996</v>
      </c>
      <c r="I214" s="269">
        <f t="shared" si="14"/>
        <v>1.80375</v>
      </c>
      <c r="J214" s="351">
        <f>ROUNDDOWN(SUM(I214:I216),6)</f>
        <v>2.3362750000000001</v>
      </c>
    </row>
    <row r="215" spans="2:10" ht="18.600000000000001" customHeight="1">
      <c r="B215" s="306"/>
      <c r="C215" s="358"/>
      <c r="D215" s="142">
        <v>1</v>
      </c>
      <c r="E215" s="141">
        <f t="shared" si="13"/>
        <v>2.5000000000000001E-2</v>
      </c>
      <c r="F215" s="275" t="s">
        <v>366</v>
      </c>
      <c r="G215" s="246">
        <v>70</v>
      </c>
      <c r="H215" s="256">
        <f>SUM('春藻場面積（修正）'!D11:D24)</f>
        <v>11.407000000000002</v>
      </c>
      <c r="I215" s="269">
        <f t="shared" si="14"/>
        <v>0.28517500000000007</v>
      </c>
      <c r="J215" s="352"/>
    </row>
    <row r="216" spans="2:10" ht="18.600000000000001" customHeight="1" thickBot="1">
      <c r="B216" s="306"/>
      <c r="C216" s="359"/>
      <c r="D216" s="204">
        <v>2</v>
      </c>
      <c r="E216" s="113">
        <f t="shared" si="13"/>
        <v>0.15</v>
      </c>
      <c r="F216" s="275" t="s">
        <v>184</v>
      </c>
      <c r="G216" s="258">
        <v>10</v>
      </c>
      <c r="H216" s="256">
        <f>SUM('春藻場面積（修正）'!D25:D26)</f>
        <v>1.6490000000000011</v>
      </c>
      <c r="I216" s="269">
        <f t="shared" si="14"/>
        <v>0.24735000000000015</v>
      </c>
      <c r="J216" s="353"/>
    </row>
    <row r="217" spans="2:10" ht="18.600000000000001" customHeight="1" thickBot="1">
      <c r="B217" s="306"/>
      <c r="C217" s="142" t="s">
        <v>334</v>
      </c>
      <c r="D217" s="170">
        <v>2</v>
      </c>
      <c r="E217" s="113">
        <f t="shared" si="13"/>
        <v>0.15</v>
      </c>
      <c r="F217" s="275" t="s">
        <v>185</v>
      </c>
      <c r="G217" s="258">
        <v>10</v>
      </c>
      <c r="H217" s="256">
        <f>SUM('春藻場面積（修正）'!D27:D28)</f>
        <v>1.6529999999999989</v>
      </c>
      <c r="I217" s="269">
        <f t="shared" si="14"/>
        <v>0.24794999999999984</v>
      </c>
      <c r="J217" s="271">
        <f>ROUNDDOWN(I217,6)</f>
        <v>0.24795</v>
      </c>
    </row>
    <row r="218" spans="2:10" ht="18.600000000000001" customHeight="1">
      <c r="B218" s="304" t="s">
        <v>64</v>
      </c>
      <c r="C218" s="360" t="s">
        <v>330</v>
      </c>
      <c r="D218" s="142">
        <v>2</v>
      </c>
      <c r="E218" s="141">
        <f t="shared" si="13"/>
        <v>0.15</v>
      </c>
      <c r="F218" s="275" t="s">
        <v>367</v>
      </c>
      <c r="G218" s="246">
        <v>20</v>
      </c>
      <c r="H218" s="256">
        <f>SUM('春藻場面積（修正）'!E5:E8)</f>
        <v>0.93500000000000005</v>
      </c>
      <c r="I218" s="269">
        <f t="shared" si="14"/>
        <v>0.14025000000000001</v>
      </c>
      <c r="J218" s="348">
        <f>ROUNDDOWN(SUM(I218:I220),6)</f>
        <v>0.353325</v>
      </c>
    </row>
    <row r="219" spans="2:10" ht="18.600000000000001" customHeight="1">
      <c r="B219" s="304"/>
      <c r="C219" s="361"/>
      <c r="D219" s="142">
        <v>3</v>
      </c>
      <c r="E219" s="141">
        <f t="shared" si="13"/>
        <v>0.375</v>
      </c>
      <c r="F219" s="275" t="s">
        <v>162</v>
      </c>
      <c r="G219" s="246">
        <v>10</v>
      </c>
      <c r="H219" s="256">
        <f>SUM('春藻場面積（修正）'!E9:E10)</f>
        <v>0.47300000000000003</v>
      </c>
      <c r="I219" s="269">
        <f t="shared" si="14"/>
        <v>0.177375</v>
      </c>
      <c r="J219" s="349"/>
    </row>
    <row r="220" spans="2:10" ht="18.600000000000001" customHeight="1" thickBot="1">
      <c r="B220" s="304"/>
      <c r="C220" s="362"/>
      <c r="D220" s="142">
        <v>2</v>
      </c>
      <c r="E220" s="141">
        <f t="shared" si="13"/>
        <v>0.15</v>
      </c>
      <c r="F220" s="275" t="s">
        <v>368</v>
      </c>
      <c r="G220" s="246">
        <v>5</v>
      </c>
      <c r="H220" s="256">
        <f>'春藻場面積（修正）'!E11</f>
        <v>0.23800000000000002</v>
      </c>
      <c r="I220" s="269">
        <f t="shared" si="14"/>
        <v>3.5700000000000003E-2</v>
      </c>
      <c r="J220" s="350"/>
    </row>
    <row r="221" spans="2:10" ht="18.600000000000001" customHeight="1" thickBot="1">
      <c r="B221" s="305"/>
      <c r="C221" s="245" t="s">
        <v>334</v>
      </c>
      <c r="D221" s="142">
        <v>2</v>
      </c>
      <c r="E221" s="141">
        <f t="shared" si="13"/>
        <v>0.15</v>
      </c>
      <c r="F221" s="275" t="s">
        <v>369</v>
      </c>
      <c r="G221" s="246">
        <v>25</v>
      </c>
      <c r="H221" s="256">
        <f>SUM('春藻場面積（修正）'!E12:E16)</f>
        <v>1.2050000000000001</v>
      </c>
      <c r="I221" s="269">
        <f t="shared" si="14"/>
        <v>0.18074999999999999</v>
      </c>
      <c r="J221" s="272">
        <f>ROUNDDOWN(I221,6)</f>
        <v>0.18074999999999999</v>
      </c>
    </row>
    <row r="222" spans="2:10" ht="25.95" customHeight="1" thickBot="1">
      <c r="B222" s="253" t="s">
        <v>394</v>
      </c>
      <c r="C222" s="236" t="s">
        <v>388</v>
      </c>
      <c r="D222" s="246">
        <v>1</v>
      </c>
      <c r="E222" s="141">
        <f t="shared" ref="E222" si="15">VLOOKUP(D222,$AL$20:$AM$24,2,FALSE)</f>
        <v>2.5000000000000001E-2</v>
      </c>
      <c r="F222" s="275" t="s">
        <v>143</v>
      </c>
      <c r="G222" s="246">
        <v>10</v>
      </c>
      <c r="H222" s="256">
        <f>SUM('春藻場面積（修正）'!F5:F6)</f>
        <v>0.159</v>
      </c>
      <c r="I222" s="269">
        <f t="shared" ref="I222" si="16">H222*E222</f>
        <v>3.9750000000000002E-3</v>
      </c>
      <c r="J222" s="273">
        <f>ROUNDDOWN(I222,6)</f>
        <v>3.9750000000000002E-3</v>
      </c>
    </row>
    <row r="223" spans="2:10">
      <c r="B223" s="93"/>
      <c r="C223" s="93"/>
      <c r="D223" s="92"/>
      <c r="E223" s="93"/>
      <c r="F223" s="93"/>
      <c r="G223" s="107"/>
      <c r="H223" s="95"/>
      <c r="I223" s="96"/>
      <c r="J223" s="97"/>
    </row>
    <row r="224" spans="2:10">
      <c r="B224" s="93"/>
      <c r="C224" s="344" t="s">
        <v>43</v>
      </c>
      <c r="D224" s="345"/>
      <c r="E224" s="237" t="s">
        <v>384</v>
      </c>
      <c r="F224" s="93"/>
      <c r="G224" s="107"/>
      <c r="H224" s="95"/>
      <c r="I224" s="96"/>
      <c r="J224" s="97"/>
    </row>
    <row r="225" spans="3:5">
      <c r="C225" s="340" t="s">
        <v>383</v>
      </c>
      <c r="D225" s="341"/>
      <c r="E225" s="276">
        <f>ROUNDDOWN(SUM(I209:I212,I214:I216,I218:I220),6)</f>
        <v>7.5812749999999998</v>
      </c>
    </row>
    <row r="226" spans="3:5">
      <c r="C226" s="342" t="s">
        <v>334</v>
      </c>
      <c r="D226" s="343"/>
      <c r="E226" s="277">
        <f>ROUNDDOWN(J213+J217+J221,6)</f>
        <v>0.81225000000000003</v>
      </c>
    </row>
  </sheetData>
  <mergeCells count="69">
    <mergeCell ref="J197:J198"/>
    <mergeCell ref="C225:D225"/>
    <mergeCell ref="C226:D226"/>
    <mergeCell ref="C224:D224"/>
    <mergeCell ref="K200:K204"/>
    <mergeCell ref="C200:C204"/>
    <mergeCell ref="J218:J220"/>
    <mergeCell ref="J209:J212"/>
    <mergeCell ref="J214:J216"/>
    <mergeCell ref="C209:C212"/>
    <mergeCell ref="C214:C216"/>
    <mergeCell ref="C218:C220"/>
    <mergeCell ref="F208:G208"/>
    <mergeCell ref="D50:P50"/>
    <mergeCell ref="B83:B87"/>
    <mergeCell ref="D80:R80"/>
    <mergeCell ref="D111:M111"/>
    <mergeCell ref="B114:B115"/>
    <mergeCell ref="B80:B81"/>
    <mergeCell ref="B12:B28"/>
    <mergeCell ref="B116:B123"/>
    <mergeCell ref="B29:B48"/>
    <mergeCell ref="B53:B57"/>
    <mergeCell ref="B50:B51"/>
    <mergeCell ref="B111:B112"/>
    <mergeCell ref="B99:B109"/>
    <mergeCell ref="AO3:AO4"/>
    <mergeCell ref="W3:Z3"/>
    <mergeCell ref="AA3:AE3"/>
    <mergeCell ref="AF3:AJ3"/>
    <mergeCell ref="B6:B11"/>
    <mergeCell ref="D3:G3"/>
    <mergeCell ref="H3:L3"/>
    <mergeCell ref="M3:Q3"/>
    <mergeCell ref="R3:V3"/>
    <mergeCell ref="B3:B4"/>
    <mergeCell ref="AL3:AL4"/>
    <mergeCell ref="AM3:AM4"/>
    <mergeCell ref="AN3:AN4"/>
    <mergeCell ref="B124:B133"/>
    <mergeCell ref="B146:B150"/>
    <mergeCell ref="B195:B196"/>
    <mergeCell ref="B135:B136"/>
    <mergeCell ref="B140:B145"/>
    <mergeCell ref="B138:B139"/>
    <mergeCell ref="B162:B168"/>
    <mergeCell ref="B179:B186"/>
    <mergeCell ref="B169:B178"/>
    <mergeCell ref="W162:W187"/>
    <mergeCell ref="V179:V186"/>
    <mergeCell ref="N162:N168"/>
    <mergeCell ref="N169:N178"/>
    <mergeCell ref="V169:V178"/>
    <mergeCell ref="B218:B221"/>
    <mergeCell ref="B214:B217"/>
    <mergeCell ref="B209:B213"/>
    <mergeCell ref="V162:V168"/>
    <mergeCell ref="N179:N186"/>
    <mergeCell ref="K162:K168"/>
    <mergeCell ref="K179:K186"/>
    <mergeCell ref="L162:L187"/>
    <mergeCell ref="J195:J196"/>
    <mergeCell ref="K169:K178"/>
    <mergeCell ref="K195:K199"/>
    <mergeCell ref="B203:B204"/>
    <mergeCell ref="J200:J201"/>
    <mergeCell ref="J202:J204"/>
    <mergeCell ref="B197:B198"/>
    <mergeCell ref="C195:C199"/>
  </mergeCells>
  <phoneticPr fontId="17"/>
  <pageMargins left="0.31496062992125984" right="0.11811023622047245" top="1.1417322834645669" bottom="0.74803149606299213" header="0.31496062992125984" footer="0.31496062992125984"/>
  <pageSetup paperSize="9" scale="8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0A761B-CE73-406D-A5D8-1E65F1D246E2}">
  <dimension ref="B1:H44"/>
  <sheetViews>
    <sheetView workbookViewId="0">
      <selection activeCell="I16" sqref="I16"/>
    </sheetView>
  </sheetViews>
  <sheetFormatPr defaultColWidth="9" defaultRowHeight="18"/>
  <cols>
    <col min="1" max="6" width="8.59765625" style="134" customWidth="1"/>
    <col min="7" max="7" width="9" style="134" customWidth="1"/>
    <col min="8" max="16384" width="9" style="134"/>
  </cols>
  <sheetData>
    <row r="1" spans="2:8">
      <c r="B1" s="229"/>
      <c r="C1" s="225"/>
      <c r="D1" s="225"/>
      <c r="E1" s="225"/>
    </row>
    <row r="2" spans="2:8">
      <c r="B2" s="371" t="s">
        <v>385</v>
      </c>
      <c r="C2" s="372"/>
      <c r="D2" s="372"/>
      <c r="E2" s="251"/>
      <c r="F2" s="252" t="s">
        <v>382</v>
      </c>
    </row>
    <row r="3" spans="2:8" ht="35.4" customHeight="1">
      <c r="B3" s="369" t="s">
        <v>421</v>
      </c>
      <c r="C3" s="373" t="s">
        <v>403</v>
      </c>
      <c r="D3" s="374"/>
      <c r="E3" s="374"/>
      <c r="F3" s="374"/>
      <c r="G3" s="365" t="s">
        <v>281</v>
      </c>
    </row>
    <row r="4" spans="2:8" ht="31.95" customHeight="1">
      <c r="B4" s="370"/>
      <c r="C4" s="239" t="s">
        <v>62</v>
      </c>
      <c r="D4" s="239" t="s">
        <v>63</v>
      </c>
      <c r="E4" s="239" t="s">
        <v>336</v>
      </c>
      <c r="F4" s="250" t="s">
        <v>387</v>
      </c>
      <c r="G4" s="366"/>
    </row>
    <row r="5" spans="2:8">
      <c r="B5" s="135" t="s">
        <v>282</v>
      </c>
      <c r="C5" s="233">
        <f>0.00837*100</f>
        <v>0.83700000000000008</v>
      </c>
      <c r="D5" s="233">
        <f>0.00798*100</f>
        <v>0.79799999999999993</v>
      </c>
      <c r="E5" s="234">
        <f>0.00232*100</f>
        <v>0.23200000000000001</v>
      </c>
      <c r="F5" s="367">
        <f>0.00159*100</f>
        <v>0.159</v>
      </c>
      <c r="G5" s="138">
        <v>1.8669999999999999E-2</v>
      </c>
      <c r="H5" s="225"/>
    </row>
    <row r="6" spans="2:8">
      <c r="B6" s="137" t="s">
        <v>283</v>
      </c>
      <c r="C6" s="233">
        <f>0.00837*100</f>
        <v>0.83700000000000008</v>
      </c>
      <c r="D6" s="233">
        <f>0.008*100</f>
        <v>0.8</v>
      </c>
      <c r="E6" s="233">
        <f>0.00234*100</f>
        <v>0.23400000000000001</v>
      </c>
      <c r="F6" s="368"/>
      <c r="G6" s="136">
        <v>1.8709999999999997E-2</v>
      </c>
      <c r="H6" s="225"/>
    </row>
    <row r="7" spans="2:8">
      <c r="B7" s="137" t="s">
        <v>284</v>
      </c>
      <c r="C7" s="233">
        <f>0.00839*100</f>
        <v>0.83899999999999997</v>
      </c>
      <c r="D7" s="234">
        <f>0.00801*100</f>
        <v>0.80099999999999993</v>
      </c>
      <c r="E7" s="234">
        <f>0.00234*100</f>
        <v>0.23400000000000001</v>
      </c>
      <c r="F7" s="138"/>
      <c r="G7" s="138">
        <v>1.874E-2</v>
      </c>
      <c r="H7" s="225"/>
    </row>
    <row r="8" spans="2:8">
      <c r="B8" s="135" t="s">
        <v>285</v>
      </c>
      <c r="C8" s="233">
        <f>0.00839*100</f>
        <v>0.83899999999999997</v>
      </c>
      <c r="D8" s="233">
        <f>0.00802*100</f>
        <v>0.80199999999999994</v>
      </c>
      <c r="E8" s="233">
        <f>0.00235*100</f>
        <v>0.23500000000000001</v>
      </c>
      <c r="F8" s="136"/>
      <c r="G8" s="136">
        <v>1.8760000000000006E-2</v>
      </c>
      <c r="H8" s="225"/>
    </row>
    <row r="9" spans="2:8">
      <c r="B9" s="135" t="s">
        <v>286</v>
      </c>
      <c r="C9" s="234">
        <f>0.00841*100</f>
        <v>0.84100000000000008</v>
      </c>
      <c r="D9" s="233">
        <f>0.00804000000000001*100</f>
        <v>0.80400000000000105</v>
      </c>
      <c r="E9" s="233">
        <f>0.00236*100</f>
        <v>0.23600000000000002</v>
      </c>
      <c r="F9" s="136"/>
      <c r="G9" s="136">
        <v>1.8809999999999993E-2</v>
      </c>
      <c r="H9" s="225"/>
    </row>
    <row r="10" spans="2:8">
      <c r="B10" s="135" t="s">
        <v>287</v>
      </c>
      <c r="C10" s="233">
        <f>0.00842*100</f>
        <v>0.84200000000000008</v>
      </c>
      <c r="D10" s="233">
        <f>0.00804999999999999*100</f>
        <v>0.80499999999999894</v>
      </c>
      <c r="E10" s="233">
        <f>0.00237*100</f>
        <v>0.23700000000000002</v>
      </c>
      <c r="F10" s="136"/>
      <c r="G10" s="136">
        <v>1.8839999999999996E-2</v>
      </c>
      <c r="H10" s="225"/>
    </row>
    <row r="11" spans="2:8">
      <c r="B11" s="135" t="s">
        <v>288</v>
      </c>
      <c r="C11" s="233">
        <f>0.00843*100</f>
        <v>0.84299999999999997</v>
      </c>
      <c r="D11" s="233">
        <f>0.00806*100</f>
        <v>0.80599999999999994</v>
      </c>
      <c r="E11" s="233">
        <f>0.00238*100</f>
        <v>0.23800000000000002</v>
      </c>
      <c r="F11" s="136"/>
      <c r="G11" s="136">
        <v>1.8869999999999998E-2</v>
      </c>
      <c r="H11" s="225"/>
    </row>
    <row r="12" spans="2:8">
      <c r="B12" s="135" t="s">
        <v>289</v>
      </c>
      <c r="C12" s="233">
        <f>0.00844*100</f>
        <v>0.84399999999999997</v>
      </c>
      <c r="D12" s="233">
        <f>0.00808*100</f>
        <v>0.80800000000000005</v>
      </c>
      <c r="E12" s="238">
        <f>0.00239*100</f>
        <v>0.23900000000000002</v>
      </c>
      <c r="F12" s="136"/>
      <c r="G12" s="136">
        <v>1.8910000000000038E-2</v>
      </c>
      <c r="H12" s="225"/>
    </row>
    <row r="13" spans="2:8">
      <c r="B13" s="135" t="s">
        <v>290</v>
      </c>
      <c r="C13" s="233">
        <f>0.00844*100</f>
        <v>0.84399999999999997</v>
      </c>
      <c r="D13" s="234">
        <f>0.00809*100</f>
        <v>0.80899999999999994</v>
      </c>
      <c r="E13" s="238">
        <f>0.0024*100</f>
        <v>0.24</v>
      </c>
      <c r="F13" s="136"/>
      <c r="G13" s="136">
        <v>1.8929999999999975E-2</v>
      </c>
      <c r="H13" s="225"/>
    </row>
    <row r="14" spans="2:8">
      <c r="B14" s="135" t="s">
        <v>291</v>
      </c>
      <c r="C14" s="233">
        <f>0.00846*100</f>
        <v>0.84600000000000009</v>
      </c>
      <c r="D14" s="233">
        <f>0.0081*100</f>
        <v>0.80999999999999994</v>
      </c>
      <c r="E14" s="238">
        <f>0.00241*100</f>
        <v>0.24099999999999999</v>
      </c>
      <c r="F14" s="136"/>
      <c r="G14" s="136">
        <v>1.8969999999999987E-2</v>
      </c>
      <c r="H14" s="225"/>
    </row>
    <row r="15" spans="2:8">
      <c r="B15" s="135" t="s">
        <v>292</v>
      </c>
      <c r="C15" s="233">
        <f>0.00847000000000001*100</f>
        <v>0.84700000000000109</v>
      </c>
      <c r="D15" s="233">
        <f>0.00812*100</f>
        <v>0.81200000000000006</v>
      </c>
      <c r="E15" s="238">
        <f>0.00242*100</f>
        <v>0.24199999999999999</v>
      </c>
      <c r="F15" s="136"/>
      <c r="G15" s="136">
        <v>1.9010000000000027E-2</v>
      </c>
      <c r="H15" s="225"/>
    </row>
    <row r="16" spans="2:8">
      <c r="B16" s="135" t="s">
        <v>293</v>
      </c>
      <c r="C16" s="233">
        <f>0.00847999999999999*100</f>
        <v>0.84799999999999898</v>
      </c>
      <c r="D16" s="233">
        <f>0.00813*100</f>
        <v>0.81300000000000006</v>
      </c>
      <c r="E16" s="238">
        <f>0.00243*100</f>
        <v>0.24299999999999999</v>
      </c>
      <c r="F16" s="136"/>
      <c r="G16" s="136">
        <v>1.9039999999999974E-2</v>
      </c>
      <c r="H16" s="225"/>
    </row>
    <row r="17" spans="2:8">
      <c r="B17" s="135" t="s">
        <v>294</v>
      </c>
      <c r="C17" s="233">
        <f>0.00849000000000001*100</f>
        <v>0.84900000000000098</v>
      </c>
      <c r="D17" s="233">
        <f>0.00813999999999999*100</f>
        <v>0.81399999999999895</v>
      </c>
      <c r="E17" s="136">
        <f>0.00244*100</f>
        <v>0.24399999999999999</v>
      </c>
      <c r="F17" s="136"/>
      <c r="G17" s="136">
        <v>1.9070000000000031E-2</v>
      </c>
      <c r="H17" s="225"/>
    </row>
    <row r="18" spans="2:8">
      <c r="B18" s="135" t="s">
        <v>295</v>
      </c>
      <c r="C18" s="233">
        <f>0.00849999999999999*100</f>
        <v>0.84999999999999898</v>
      </c>
      <c r="D18" s="233">
        <f>0.00816*100</f>
        <v>0.81600000000000006</v>
      </c>
      <c r="E18" s="136">
        <f>0.00245*100</f>
        <v>0.245</v>
      </c>
      <c r="F18" s="136"/>
      <c r="G18" s="136">
        <v>1.9109999999999988E-2</v>
      </c>
      <c r="H18" s="225"/>
    </row>
    <row r="19" spans="2:8">
      <c r="B19" s="135" t="s">
        <v>296</v>
      </c>
      <c r="C19" s="233">
        <f>0.00850000000000001*100</f>
        <v>0.85000000000000098</v>
      </c>
      <c r="D19" s="233">
        <f>0.00817*100</f>
        <v>0.81700000000000006</v>
      </c>
      <c r="E19" s="136">
        <f>0.00245*100</f>
        <v>0.245</v>
      </c>
      <c r="F19" s="136"/>
      <c r="G19" s="136">
        <v>1.911999999999997E-2</v>
      </c>
      <c r="H19" s="225"/>
    </row>
    <row r="20" spans="2:8">
      <c r="B20" s="135" t="s">
        <v>297</v>
      </c>
      <c r="C20" s="233">
        <f>0.00852*100</f>
        <v>0.85199999999999998</v>
      </c>
      <c r="D20" s="233">
        <f>0.00818000000000001*100</f>
        <v>0.81800000000000106</v>
      </c>
      <c r="E20" s="138">
        <f>0.00247*100</f>
        <v>0.247</v>
      </c>
      <c r="F20" s="138"/>
      <c r="G20" s="136">
        <v>1.9170000000000076E-2</v>
      </c>
      <c r="H20" s="225"/>
    </row>
    <row r="21" spans="2:8">
      <c r="B21" s="135" t="s">
        <v>298</v>
      </c>
      <c r="C21" s="233">
        <f>0.00850999999999999*100</f>
        <v>0.85099999999999898</v>
      </c>
      <c r="D21" s="233">
        <f>0.00819*100</f>
        <v>0.81899999999999995</v>
      </c>
      <c r="E21" s="136">
        <f>0.00248*100</f>
        <v>0.248</v>
      </c>
      <c r="F21" s="136"/>
      <c r="G21" s="136">
        <v>1.9179999999999919E-2</v>
      </c>
      <c r="H21" s="225"/>
    </row>
    <row r="22" spans="2:8">
      <c r="B22" s="135" t="s">
        <v>299</v>
      </c>
      <c r="C22" s="233">
        <f>0.00852*100</f>
        <v>0.85199999999999998</v>
      </c>
      <c r="D22" s="233">
        <f>0.00821*100</f>
        <v>0.82100000000000006</v>
      </c>
      <c r="E22" s="136">
        <f>0.00248*100</f>
        <v>0.248</v>
      </c>
      <c r="F22" s="136"/>
      <c r="G22" s="136">
        <v>1.9210000000000005E-2</v>
      </c>
      <c r="H22" s="225"/>
    </row>
    <row r="23" spans="2:8">
      <c r="B23" s="135" t="s">
        <v>300</v>
      </c>
      <c r="C23" s="238">
        <f>0.00852*100</f>
        <v>0.85199999999999998</v>
      </c>
      <c r="D23" s="233">
        <f>0.00821*100</f>
        <v>0.82100000000000006</v>
      </c>
      <c r="E23" s="136">
        <f>0.0025*100</f>
        <v>0.25</v>
      </c>
      <c r="F23" s="136"/>
      <c r="G23" s="136">
        <v>1.9230000000000025E-2</v>
      </c>
      <c r="H23" s="225"/>
    </row>
    <row r="24" spans="2:8">
      <c r="B24" s="135" t="s">
        <v>301</v>
      </c>
      <c r="C24" s="238">
        <f>0.00853000000000001*100</f>
        <v>0.85300000000000098</v>
      </c>
      <c r="D24" s="233">
        <f>0.00823000000000002*100</f>
        <v>0.82300000000000206</v>
      </c>
      <c r="E24" s="136">
        <f>0.0025*100</f>
        <v>0.25</v>
      </c>
      <c r="F24" s="136"/>
      <c r="G24" s="136">
        <v>1.9259999999999999E-2</v>
      </c>
      <c r="H24" s="225"/>
    </row>
    <row r="25" spans="2:8">
      <c r="B25" s="135" t="s">
        <v>302</v>
      </c>
      <c r="C25" s="238">
        <f>0.00852*100</f>
        <v>0.85199999999999998</v>
      </c>
      <c r="D25" s="233">
        <f>0.00824*100</f>
        <v>0.82400000000000007</v>
      </c>
      <c r="E25" s="136">
        <f>0.00251999999999999*100</f>
        <v>0.251999999999999</v>
      </c>
      <c r="F25" s="136"/>
      <c r="G25" s="136">
        <v>1.9280000000000019E-2</v>
      </c>
      <c r="H25" s="225"/>
    </row>
    <row r="26" spans="2:8">
      <c r="B26" s="135" t="s">
        <v>303</v>
      </c>
      <c r="C26" s="136">
        <f>0.00852999999999998*100</f>
        <v>0.85299999999999798</v>
      </c>
      <c r="D26" s="233">
        <f>0.00825000000000001*100</f>
        <v>0.82500000000000107</v>
      </c>
      <c r="E26" s="136">
        <f>0.00253*100</f>
        <v>0.253</v>
      </c>
      <c r="F26" s="136"/>
      <c r="G26" s="136">
        <v>1.9309999999999994E-2</v>
      </c>
      <c r="H26" s="225"/>
    </row>
    <row r="27" spans="2:8">
      <c r="B27" s="135" t="s">
        <v>304</v>
      </c>
      <c r="C27" s="136">
        <f>0.00853000000000001*100</f>
        <v>0.85300000000000098</v>
      </c>
      <c r="D27" s="238">
        <f>0.00825999999999999*100</f>
        <v>0.82599999999999896</v>
      </c>
      <c r="E27" s="136">
        <f>0.00256*100</f>
        <v>0.25600000000000001</v>
      </c>
      <c r="F27" s="136"/>
      <c r="G27" s="136">
        <v>1.9349999999999978E-2</v>
      </c>
      <c r="H27" s="225"/>
    </row>
    <row r="28" spans="2:8">
      <c r="B28" s="135" t="s">
        <v>305</v>
      </c>
      <c r="C28" s="136">
        <f>0.00853000000000001*100</f>
        <v>0.85300000000000098</v>
      </c>
      <c r="D28" s="238">
        <f>0.00827*100</f>
        <v>0.82699999999999996</v>
      </c>
      <c r="E28" s="136">
        <f>0.00257*100</f>
        <v>0.25700000000000001</v>
      </c>
      <c r="F28" s="136"/>
      <c r="G28" s="136">
        <v>1.9370000000000054E-2</v>
      </c>
      <c r="H28" s="225"/>
    </row>
    <row r="29" spans="2:8" hidden="1">
      <c r="B29" s="135" t="s">
        <v>306</v>
      </c>
      <c r="C29" s="136">
        <v>8.529999999999982E-3</v>
      </c>
      <c r="D29" s="136">
        <v>8.2699999999999996E-3</v>
      </c>
      <c r="E29" s="136">
        <v>2.579999999999999E-3</v>
      </c>
      <c r="F29" s="136"/>
      <c r="G29" s="136">
        <v>1.9379999999999897E-2</v>
      </c>
      <c r="H29" s="225"/>
    </row>
    <row r="30" spans="2:8" hidden="1">
      <c r="B30" s="135" t="s">
        <v>307</v>
      </c>
      <c r="C30" s="136">
        <v>8.5100000000000176E-3</v>
      </c>
      <c r="D30" s="136">
        <v>8.2899999999999918E-3</v>
      </c>
      <c r="E30" s="136">
        <v>2.6000000000000051E-3</v>
      </c>
      <c r="F30" s="136"/>
      <c r="G30" s="136">
        <v>1.9400000000000084E-2</v>
      </c>
      <c r="H30" s="225"/>
    </row>
    <row r="31" spans="2:8" hidden="1">
      <c r="B31" s="135" t="s">
        <v>308</v>
      </c>
      <c r="C31" s="136">
        <v>8.4799999999999875E-3</v>
      </c>
      <c r="D31" s="136">
        <v>8.3000000000000018E-3</v>
      </c>
      <c r="E31" s="136">
        <v>2.6199999999999973E-3</v>
      </c>
      <c r="F31" s="136"/>
      <c r="G31" s="136">
        <v>1.9399999999999973E-2</v>
      </c>
      <c r="H31" s="225"/>
    </row>
    <row r="32" spans="2:8" hidden="1">
      <c r="B32" s="135" t="s">
        <v>309</v>
      </c>
      <c r="C32" s="136">
        <v>8.4599999999999953E-3</v>
      </c>
      <c r="D32" s="136">
        <v>8.3000000000000018E-3</v>
      </c>
      <c r="E32" s="136">
        <v>2.6199999999999973E-3</v>
      </c>
      <c r="F32" s="136"/>
      <c r="G32" s="136">
        <v>1.9380000000000064E-2</v>
      </c>
      <c r="H32" s="225"/>
    </row>
    <row r="33" spans="2:8" hidden="1">
      <c r="B33" s="135" t="s">
        <v>310</v>
      </c>
      <c r="C33" s="136">
        <v>8.4500000000000131E-3</v>
      </c>
      <c r="D33" s="136">
        <v>8.3100000000000118E-3</v>
      </c>
      <c r="E33" s="136">
        <v>2.6300000000000073E-3</v>
      </c>
      <c r="F33" s="136"/>
      <c r="G33" s="136">
        <v>1.9389999999999907E-2</v>
      </c>
      <c r="H33" s="225"/>
    </row>
    <row r="34" spans="2:8" hidden="1">
      <c r="B34" s="135" t="s">
        <v>311</v>
      </c>
      <c r="C34" s="136">
        <v>8.4100000000000008E-3</v>
      </c>
      <c r="D34" s="136">
        <v>8.3199999999999941E-3</v>
      </c>
      <c r="E34" s="136">
        <v>2.6499999999999996E-3</v>
      </c>
      <c r="F34" s="136"/>
      <c r="G34" s="136">
        <v>1.9380000000000064E-2</v>
      </c>
      <c r="H34" s="225"/>
    </row>
    <row r="35" spans="2:8" hidden="1">
      <c r="B35" s="135" t="s">
        <v>312</v>
      </c>
      <c r="C35" s="136">
        <v>8.4000000000000186E-3</v>
      </c>
      <c r="D35" s="136">
        <v>8.3299999999999763E-3</v>
      </c>
      <c r="E35" s="136">
        <v>2.6499999999999996E-3</v>
      </c>
      <c r="F35" s="136"/>
      <c r="G35" s="136">
        <v>1.9379999999999953E-2</v>
      </c>
      <c r="H35" s="225"/>
    </row>
    <row r="36" spans="2:8" hidden="1">
      <c r="B36" s="135" t="s">
        <v>313</v>
      </c>
      <c r="C36" s="136">
        <v>8.3799999999999986E-3</v>
      </c>
      <c r="D36" s="136">
        <v>8.3400000000000141E-3</v>
      </c>
      <c r="E36" s="136">
        <v>2.6599999999999957E-3</v>
      </c>
      <c r="F36" s="136"/>
      <c r="G36" s="136">
        <v>1.9380000000000064E-2</v>
      </c>
      <c r="H36" s="225"/>
    </row>
    <row r="37" spans="2:8" hidden="1">
      <c r="B37" s="135" t="s">
        <v>314</v>
      </c>
      <c r="C37" s="136">
        <v>8.3699999999999886E-3</v>
      </c>
      <c r="D37" s="136">
        <v>8.3500000000000241E-3</v>
      </c>
      <c r="E37" s="136">
        <v>2.6700000000000057E-3</v>
      </c>
      <c r="F37" s="136"/>
      <c r="G37" s="136">
        <v>1.9390000000000018E-2</v>
      </c>
      <c r="H37" s="225"/>
    </row>
    <row r="38" spans="2:8" hidden="1">
      <c r="B38" s="135" t="s">
        <v>315</v>
      </c>
      <c r="C38" s="136">
        <v>8.3599999999999786E-3</v>
      </c>
      <c r="D38" s="136">
        <v>8.3599999999999786E-3</v>
      </c>
      <c r="E38" s="136">
        <v>2.6699999999999918E-3</v>
      </c>
      <c r="F38" s="136"/>
      <c r="G38" s="136">
        <v>1.9389999999999907E-2</v>
      </c>
      <c r="H38" s="225"/>
    </row>
    <row r="39" spans="2:8" hidden="1">
      <c r="B39" s="135" t="s">
        <v>316</v>
      </c>
      <c r="C39" s="136">
        <v>8.3500000000000241E-3</v>
      </c>
      <c r="D39" s="136">
        <v>8.3699999999999886E-3</v>
      </c>
      <c r="E39" s="136">
        <v>2.6899999999999979E-3</v>
      </c>
      <c r="F39" s="136"/>
      <c r="G39" s="136">
        <v>1.9410000000000038E-2</v>
      </c>
      <c r="H39" s="225"/>
    </row>
    <row r="40" spans="2:8" hidden="1">
      <c r="B40" s="135" t="s">
        <v>317</v>
      </c>
      <c r="C40" s="136">
        <v>8.3400000000000141E-3</v>
      </c>
      <c r="D40" s="136">
        <v>8.3799999999999986E-3</v>
      </c>
      <c r="E40" s="136">
        <v>2.7000000000000079E-3</v>
      </c>
      <c r="F40" s="136"/>
      <c r="G40" s="136">
        <v>1.9420000000000104E-2</v>
      </c>
      <c r="H40" s="225"/>
    </row>
    <row r="41" spans="2:8" hidden="1">
      <c r="B41" s="135" t="s">
        <v>318</v>
      </c>
      <c r="C41" s="136">
        <v>8.3299999999999486E-3</v>
      </c>
      <c r="D41" s="136">
        <v>8.3799999999999986E-3</v>
      </c>
      <c r="E41" s="136">
        <v>2.6999999999999941E-3</v>
      </c>
      <c r="F41" s="136"/>
      <c r="G41" s="136">
        <v>1.9409999999999816E-2</v>
      </c>
      <c r="H41" s="225"/>
    </row>
    <row r="42" spans="2:8" hidden="1">
      <c r="B42" s="135" t="s">
        <v>319</v>
      </c>
      <c r="C42" s="136">
        <v>8.3300000000000041E-3</v>
      </c>
      <c r="D42" s="136">
        <v>8.4000000000000186E-3</v>
      </c>
      <c r="E42" s="136">
        <v>2.7300000000000102E-3</v>
      </c>
      <c r="F42" s="136"/>
      <c r="G42" s="136">
        <v>1.9460000000000033E-2</v>
      </c>
      <c r="H42" s="225"/>
    </row>
    <row r="43" spans="2:8" hidden="1">
      <c r="B43" s="135" t="s">
        <v>281</v>
      </c>
      <c r="C43" s="136">
        <v>0.32097999999999999</v>
      </c>
      <c r="D43" s="136">
        <v>0.31189</v>
      </c>
      <c r="E43" s="136">
        <v>9.5630000000000007E-2</v>
      </c>
      <c r="F43" s="136"/>
      <c r="G43" s="136">
        <v>0.72850000000000004</v>
      </c>
      <c r="H43" s="225"/>
    </row>
    <row r="44" spans="2:8">
      <c r="B44" s="235"/>
    </row>
  </sheetData>
  <mergeCells count="5">
    <mergeCell ref="G3:G4"/>
    <mergeCell ref="F5:F6"/>
    <mergeCell ref="B3:B4"/>
    <mergeCell ref="B2:D2"/>
    <mergeCell ref="C3:F3"/>
  </mergeCells>
  <phoneticPr fontId="17"/>
  <pageMargins left="0.7" right="0.7" top="0.75" bottom="0.75" header="0.3" footer="0.3"/>
  <pageSetup paperSize="9" orientation="portrait" r:id="rId1"/>
  <ignoredErrors>
    <ignoredError sqref="C24 C21"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10862F-6435-413F-87AA-29DFF7808A02}">
  <sheetPr>
    <tabColor theme="5" tint="0.59999389629810485"/>
  </sheetPr>
  <dimension ref="B1:BC56"/>
  <sheetViews>
    <sheetView tabSelected="1" topLeftCell="B5" zoomScale="85" zoomScaleNormal="85" workbookViewId="0">
      <selection activeCell="G32" sqref="G32"/>
    </sheetView>
  </sheetViews>
  <sheetFormatPr defaultColWidth="9" defaultRowHeight="18"/>
  <cols>
    <col min="1" max="1" width="3.19921875" style="160" customWidth="1"/>
    <col min="2" max="2" width="5" style="160" customWidth="1"/>
    <col min="3" max="3" width="8.59765625" style="160" customWidth="1"/>
    <col min="4" max="4" width="12.69921875" style="160" bestFit="1" customWidth="1"/>
    <col min="5" max="5" width="10.8984375" style="160" bestFit="1" customWidth="1"/>
    <col min="6" max="6" width="23.5" style="160" bestFit="1" customWidth="1"/>
    <col min="7" max="7" width="43.59765625" style="160" customWidth="1"/>
    <col min="8" max="16" width="8.59765625" style="160" customWidth="1"/>
    <col min="17" max="17" width="8.69921875" style="160" customWidth="1"/>
    <col min="18" max="19" width="10.69921875" style="160" customWidth="1"/>
    <col min="20" max="24" width="8.59765625" style="160" customWidth="1"/>
    <col min="25" max="25" width="9" style="160"/>
    <col min="26" max="26" width="7.69921875" style="32" customWidth="1"/>
    <col min="27" max="27" width="5.69921875" style="32" customWidth="1"/>
    <col min="28" max="28" width="10.19921875" style="32" customWidth="1"/>
    <col min="29" max="29" width="9.19921875" style="32" customWidth="1"/>
    <col min="30" max="30" width="8.8984375" style="32" customWidth="1"/>
    <col min="31" max="31" width="9" style="32"/>
    <col min="32" max="16384" width="9" style="160"/>
  </cols>
  <sheetData>
    <row r="1" spans="2:55" s="33" customFormat="1">
      <c r="C1" s="34"/>
      <c r="D1" s="34"/>
    </row>
    <row r="2" spans="2:55">
      <c r="B2" s="380" t="s">
        <v>9</v>
      </c>
      <c r="C2" s="383" t="s">
        <v>8</v>
      </c>
      <c r="D2" s="384"/>
      <c r="E2" s="385"/>
      <c r="F2" s="383" t="s">
        <v>1</v>
      </c>
      <c r="G2" s="385"/>
      <c r="H2" s="389" t="s">
        <v>61</v>
      </c>
      <c r="I2" s="390"/>
      <c r="J2" s="390"/>
      <c r="K2" s="390"/>
      <c r="L2" s="390"/>
      <c r="M2" s="390"/>
      <c r="N2" s="390"/>
      <c r="O2" s="390"/>
      <c r="P2" s="390"/>
      <c r="Q2" s="390"/>
      <c r="R2" s="390"/>
      <c r="S2" s="390"/>
      <c r="T2" s="390"/>
      <c r="U2" s="390"/>
      <c r="V2" s="390"/>
      <c r="W2" s="390"/>
      <c r="X2" s="391"/>
      <c r="Z2" s="33"/>
      <c r="AA2" s="33"/>
      <c r="AB2" s="33"/>
      <c r="AC2" s="33"/>
      <c r="AD2" s="33"/>
      <c r="AE2" s="33"/>
      <c r="AF2" s="33"/>
      <c r="AG2" s="33"/>
      <c r="AH2" s="33"/>
      <c r="AI2" s="33"/>
      <c r="AJ2" s="33"/>
      <c r="AK2" s="33"/>
      <c r="AL2" s="33"/>
      <c r="AM2" s="33"/>
      <c r="AN2" s="33"/>
      <c r="AO2" s="33"/>
      <c r="AP2" s="33"/>
      <c r="AQ2" s="33"/>
      <c r="AR2" s="33"/>
      <c r="AS2" s="33"/>
      <c r="AT2" s="33"/>
      <c r="AU2" s="33"/>
      <c r="AV2" s="33"/>
      <c r="AW2" s="33"/>
      <c r="AX2" s="33"/>
      <c r="AY2" s="33"/>
      <c r="AZ2" s="33"/>
      <c r="BA2" s="33"/>
      <c r="BB2" s="33"/>
      <c r="BC2" s="33"/>
    </row>
    <row r="3" spans="2:55">
      <c r="B3" s="381"/>
      <c r="C3" s="386"/>
      <c r="D3" s="387"/>
      <c r="E3" s="388"/>
      <c r="F3" s="386"/>
      <c r="G3" s="388"/>
      <c r="H3" s="389" t="s">
        <v>328</v>
      </c>
      <c r="I3" s="390"/>
      <c r="J3" s="390"/>
      <c r="K3" s="390"/>
      <c r="L3" s="390"/>
      <c r="M3" s="390"/>
      <c r="N3" s="390"/>
      <c r="O3" s="390"/>
      <c r="P3" s="390"/>
      <c r="Q3" s="390"/>
      <c r="R3" s="165"/>
      <c r="S3" s="212"/>
      <c r="T3" s="389" t="s">
        <v>329</v>
      </c>
      <c r="U3" s="390"/>
      <c r="V3" s="390"/>
      <c r="W3" s="390"/>
      <c r="X3" s="391"/>
    </row>
    <row r="4" spans="2:55" ht="54" customHeight="1">
      <c r="B4" s="381"/>
      <c r="C4" s="380" t="s">
        <v>7</v>
      </c>
      <c r="D4" s="380" t="s">
        <v>6</v>
      </c>
      <c r="E4" s="380" t="s">
        <v>5</v>
      </c>
      <c r="F4" s="380" t="s">
        <v>4</v>
      </c>
      <c r="G4" s="380" t="s">
        <v>3</v>
      </c>
      <c r="H4" s="389" t="s">
        <v>62</v>
      </c>
      <c r="I4" s="390"/>
      <c r="J4" s="391"/>
      <c r="K4" s="389" t="s">
        <v>63</v>
      </c>
      <c r="L4" s="390"/>
      <c r="M4" s="390"/>
      <c r="N4" s="391"/>
      <c r="O4" s="389" t="s">
        <v>64</v>
      </c>
      <c r="P4" s="390"/>
      <c r="Q4" s="391"/>
      <c r="R4" s="404" t="s">
        <v>354</v>
      </c>
      <c r="S4" s="405"/>
      <c r="T4" s="164" t="s">
        <v>66</v>
      </c>
      <c r="U4" s="164" t="s">
        <v>67</v>
      </c>
      <c r="V4" s="164" t="s">
        <v>68</v>
      </c>
      <c r="W4" s="164" t="s">
        <v>69</v>
      </c>
      <c r="X4" s="167" t="s">
        <v>70</v>
      </c>
    </row>
    <row r="5" spans="2:55">
      <c r="B5" s="381"/>
      <c r="C5" s="381"/>
      <c r="D5" s="381"/>
      <c r="E5" s="381"/>
      <c r="F5" s="381"/>
      <c r="G5" s="382"/>
      <c r="H5" s="171" t="s">
        <v>337</v>
      </c>
      <c r="I5" s="171" t="s">
        <v>338</v>
      </c>
      <c r="J5" s="171" t="s">
        <v>339</v>
      </c>
      <c r="K5" s="171" t="s">
        <v>340</v>
      </c>
      <c r="L5" s="171" t="s">
        <v>341</v>
      </c>
      <c r="M5" s="401" t="s">
        <v>342</v>
      </c>
      <c r="N5" s="402"/>
      <c r="O5" s="171" t="s">
        <v>343</v>
      </c>
      <c r="P5" s="171" t="s">
        <v>344</v>
      </c>
      <c r="Q5" s="171" t="s">
        <v>345</v>
      </c>
      <c r="R5" s="401" t="s">
        <v>346</v>
      </c>
      <c r="S5" s="402"/>
      <c r="T5" s="181" t="s">
        <v>356</v>
      </c>
      <c r="U5" s="181" t="s">
        <v>357</v>
      </c>
      <c r="V5" s="181" t="s">
        <v>358</v>
      </c>
      <c r="W5" s="181" t="s">
        <v>359</v>
      </c>
      <c r="X5" s="181" t="s">
        <v>360</v>
      </c>
    </row>
    <row r="6" spans="2:55" ht="39.6" customHeight="1">
      <c r="B6" s="382"/>
      <c r="C6" s="382"/>
      <c r="D6" s="382"/>
      <c r="E6" s="382"/>
      <c r="F6" s="382"/>
      <c r="G6" s="166"/>
      <c r="H6" s="401" t="s">
        <v>347</v>
      </c>
      <c r="I6" s="402"/>
      <c r="J6" s="171" t="s">
        <v>348</v>
      </c>
      <c r="K6" s="403" t="s">
        <v>347</v>
      </c>
      <c r="L6" s="403"/>
      <c r="M6" s="403"/>
      <c r="N6" s="172" t="s">
        <v>348</v>
      </c>
      <c r="O6" s="401" t="s">
        <v>347</v>
      </c>
      <c r="P6" s="402"/>
      <c r="Q6" s="171" t="s">
        <v>348</v>
      </c>
      <c r="R6" s="188" t="s">
        <v>375</v>
      </c>
      <c r="S6" s="188" t="s">
        <v>376</v>
      </c>
      <c r="T6" s="376" t="s">
        <v>330</v>
      </c>
      <c r="U6" s="376"/>
      <c r="V6" s="376"/>
      <c r="W6" s="376" t="s">
        <v>334</v>
      </c>
      <c r="X6" s="376"/>
    </row>
    <row r="7" spans="2:55">
      <c r="B7" s="105">
        <v>1</v>
      </c>
      <c r="C7" s="19" t="s">
        <v>78</v>
      </c>
      <c r="D7" s="19" t="s">
        <v>79</v>
      </c>
      <c r="E7" s="19" t="s">
        <v>79</v>
      </c>
      <c r="F7" s="20" t="s">
        <v>80</v>
      </c>
      <c r="G7" s="21" t="s">
        <v>81</v>
      </c>
      <c r="H7" s="168" t="s">
        <v>335</v>
      </c>
      <c r="I7" s="168" t="s">
        <v>335</v>
      </c>
      <c r="J7" s="168" t="s">
        <v>335</v>
      </c>
      <c r="K7" s="168" t="s">
        <v>335</v>
      </c>
      <c r="L7" s="168" t="s">
        <v>335</v>
      </c>
      <c r="M7" s="168" t="s">
        <v>335</v>
      </c>
      <c r="N7" s="168"/>
      <c r="O7" s="168" t="s">
        <v>335</v>
      </c>
      <c r="P7" s="168" t="s">
        <v>335</v>
      </c>
      <c r="Q7" s="168">
        <v>32</v>
      </c>
      <c r="R7" s="168" t="s">
        <v>335</v>
      </c>
      <c r="S7" s="168"/>
      <c r="T7" s="168" t="s">
        <v>335</v>
      </c>
      <c r="U7" s="168" t="s">
        <v>335</v>
      </c>
      <c r="V7" s="168">
        <v>9</v>
      </c>
      <c r="W7" s="168" t="s">
        <v>335</v>
      </c>
      <c r="X7" s="168">
        <v>50</v>
      </c>
      <c r="AB7" s="156"/>
      <c r="AE7" s="157"/>
    </row>
    <row r="8" spans="2:55" ht="16.95" customHeight="1">
      <c r="B8" s="105">
        <v>2</v>
      </c>
      <c r="C8" s="19" t="s">
        <v>13</v>
      </c>
      <c r="D8" s="19" t="s">
        <v>83</v>
      </c>
      <c r="E8" s="19" t="s">
        <v>83</v>
      </c>
      <c r="F8" s="20" t="s">
        <v>84</v>
      </c>
      <c r="G8" s="21" t="s">
        <v>85</v>
      </c>
      <c r="H8" s="168" t="s">
        <v>335</v>
      </c>
      <c r="I8" s="168" t="s">
        <v>335</v>
      </c>
      <c r="J8" s="168" t="s">
        <v>335</v>
      </c>
      <c r="K8" s="168" t="s">
        <v>335</v>
      </c>
      <c r="L8" s="168" t="s">
        <v>335</v>
      </c>
      <c r="M8" s="168" t="s">
        <v>335</v>
      </c>
      <c r="N8" s="168"/>
      <c r="O8" s="168" t="s">
        <v>335</v>
      </c>
      <c r="P8" s="168" t="s">
        <v>335</v>
      </c>
      <c r="Q8" s="168" t="s">
        <v>335</v>
      </c>
      <c r="R8" s="168" t="s">
        <v>335</v>
      </c>
      <c r="S8" s="168"/>
      <c r="T8" s="168">
        <v>227</v>
      </c>
      <c r="U8" s="168" t="s">
        <v>335</v>
      </c>
      <c r="V8" s="168" t="s">
        <v>335</v>
      </c>
      <c r="W8" s="168" t="s">
        <v>335</v>
      </c>
      <c r="X8" s="168" t="s">
        <v>335</v>
      </c>
      <c r="AB8" s="157"/>
      <c r="AC8" s="157"/>
      <c r="AE8" s="157"/>
    </row>
    <row r="9" spans="2:55">
      <c r="B9" s="105">
        <v>3</v>
      </c>
      <c r="C9" s="22"/>
      <c r="D9" s="23"/>
      <c r="E9" s="23"/>
      <c r="F9" s="20" t="s">
        <v>86</v>
      </c>
      <c r="G9" s="21" t="s">
        <v>87</v>
      </c>
      <c r="H9" s="168" t="s">
        <v>335</v>
      </c>
      <c r="I9" s="168" t="s">
        <v>335</v>
      </c>
      <c r="J9" s="168" t="s">
        <v>335</v>
      </c>
      <c r="K9" s="168" t="s">
        <v>335</v>
      </c>
      <c r="L9" s="168" t="s">
        <v>335</v>
      </c>
      <c r="M9" s="168" t="s">
        <v>335</v>
      </c>
      <c r="N9" s="168"/>
      <c r="O9" s="168" t="s">
        <v>335</v>
      </c>
      <c r="P9" s="168" t="s">
        <v>335</v>
      </c>
      <c r="Q9" s="168">
        <v>24</v>
      </c>
      <c r="R9" s="168">
        <v>8</v>
      </c>
      <c r="S9" s="168"/>
      <c r="T9" s="168" t="s">
        <v>335</v>
      </c>
      <c r="U9" s="168" t="s">
        <v>335</v>
      </c>
      <c r="V9" s="168" t="s">
        <v>335</v>
      </c>
      <c r="W9" s="168" t="s">
        <v>335</v>
      </c>
      <c r="X9" s="168" t="s">
        <v>335</v>
      </c>
      <c r="AB9" s="157"/>
    </row>
    <row r="10" spans="2:55">
      <c r="B10" s="105">
        <v>4</v>
      </c>
      <c r="C10" s="22"/>
      <c r="D10" s="19" t="s">
        <v>88</v>
      </c>
      <c r="E10" s="20" t="s">
        <v>88</v>
      </c>
      <c r="F10" s="20" t="s">
        <v>89</v>
      </c>
      <c r="G10" s="21" t="s">
        <v>90</v>
      </c>
      <c r="H10" s="168" t="s">
        <v>335</v>
      </c>
      <c r="I10" s="168" t="s">
        <v>335</v>
      </c>
      <c r="J10" s="168">
        <v>1041</v>
      </c>
      <c r="K10" s="168" t="s">
        <v>335</v>
      </c>
      <c r="L10" s="168"/>
      <c r="M10" s="168"/>
      <c r="N10" s="168">
        <v>200</v>
      </c>
      <c r="O10" s="168" t="s">
        <v>335</v>
      </c>
      <c r="P10" s="168" t="s">
        <v>335</v>
      </c>
      <c r="Q10" s="168">
        <v>445</v>
      </c>
      <c r="R10" s="168" t="s">
        <v>335</v>
      </c>
      <c r="S10" s="168"/>
      <c r="T10" s="168" t="s">
        <v>335</v>
      </c>
      <c r="U10" s="168" t="s">
        <v>335</v>
      </c>
      <c r="V10" s="168" t="s">
        <v>335</v>
      </c>
      <c r="W10" s="168">
        <v>1615</v>
      </c>
      <c r="X10" s="168">
        <v>931</v>
      </c>
      <c r="AB10" s="158"/>
      <c r="AC10" s="158"/>
      <c r="AD10" s="158"/>
      <c r="AE10" s="158"/>
    </row>
    <row r="11" spans="2:55">
      <c r="B11" s="105">
        <v>5</v>
      </c>
      <c r="C11" s="22"/>
      <c r="D11" s="23"/>
      <c r="E11" s="20" t="s">
        <v>91</v>
      </c>
      <c r="F11" s="20" t="s">
        <v>92</v>
      </c>
      <c r="G11" s="21" t="s">
        <v>93</v>
      </c>
      <c r="H11" s="168" t="s">
        <v>335</v>
      </c>
      <c r="I11" s="168" t="s">
        <v>335</v>
      </c>
      <c r="J11" s="168" t="s">
        <v>335</v>
      </c>
      <c r="K11" s="168" t="s">
        <v>335</v>
      </c>
      <c r="L11" s="168">
        <v>9</v>
      </c>
      <c r="M11" s="168" t="s">
        <v>335</v>
      </c>
      <c r="N11" s="168"/>
      <c r="O11" s="168" t="s">
        <v>335</v>
      </c>
      <c r="P11" s="168" t="s">
        <v>335</v>
      </c>
      <c r="Q11" s="168" t="s">
        <v>335</v>
      </c>
      <c r="R11" s="168">
        <v>21</v>
      </c>
      <c r="S11" s="168"/>
      <c r="T11" s="168">
        <v>11</v>
      </c>
      <c r="U11" s="168">
        <v>4</v>
      </c>
      <c r="V11" s="168" t="s">
        <v>335</v>
      </c>
      <c r="W11" s="168" t="s">
        <v>335</v>
      </c>
      <c r="X11" s="168" t="s">
        <v>335</v>
      </c>
    </row>
    <row r="12" spans="2:55" ht="17.399999999999999" customHeight="1">
      <c r="B12" s="105">
        <v>6</v>
      </c>
      <c r="C12" s="22"/>
      <c r="D12" s="20" t="s">
        <v>94</v>
      </c>
      <c r="E12" s="20" t="s">
        <v>94</v>
      </c>
      <c r="F12" s="20" t="s">
        <v>95</v>
      </c>
      <c r="G12" s="21" t="s">
        <v>96</v>
      </c>
      <c r="H12" s="168" t="s">
        <v>335</v>
      </c>
      <c r="I12" s="168" t="s">
        <v>335</v>
      </c>
      <c r="J12" s="168" t="s">
        <v>335</v>
      </c>
      <c r="K12" s="168" t="s">
        <v>335</v>
      </c>
      <c r="L12" s="168" t="s">
        <v>335</v>
      </c>
      <c r="M12" s="168" t="s">
        <v>335</v>
      </c>
      <c r="N12" s="168"/>
      <c r="O12" s="168" t="s">
        <v>335</v>
      </c>
      <c r="P12" s="168" t="s">
        <v>335</v>
      </c>
      <c r="Q12" s="168" t="s">
        <v>335</v>
      </c>
      <c r="R12" s="168" t="s">
        <v>335</v>
      </c>
      <c r="S12" s="168"/>
      <c r="T12" s="168">
        <v>1</v>
      </c>
      <c r="U12" s="168" t="s">
        <v>335</v>
      </c>
      <c r="V12" s="168" t="s">
        <v>335</v>
      </c>
      <c r="W12" s="168" t="s">
        <v>335</v>
      </c>
      <c r="X12" s="168" t="s">
        <v>335</v>
      </c>
    </row>
    <row r="13" spans="2:55">
      <c r="B13" s="105">
        <v>7</v>
      </c>
      <c r="C13" s="22"/>
      <c r="D13" s="19" t="s">
        <v>97</v>
      </c>
      <c r="E13" s="19" t="s">
        <v>98</v>
      </c>
      <c r="F13" s="20" t="s">
        <v>99</v>
      </c>
      <c r="G13" s="21" t="s">
        <v>100</v>
      </c>
      <c r="H13" s="168" t="s">
        <v>335</v>
      </c>
      <c r="I13" s="168" t="s">
        <v>335</v>
      </c>
      <c r="J13" s="168" t="s">
        <v>335</v>
      </c>
      <c r="K13" s="168" t="s">
        <v>335</v>
      </c>
      <c r="L13" s="168" t="s">
        <v>335</v>
      </c>
      <c r="M13" s="168" t="s">
        <v>335</v>
      </c>
      <c r="N13" s="168"/>
      <c r="O13" s="168" t="s">
        <v>335</v>
      </c>
      <c r="P13" s="168" t="s">
        <v>335</v>
      </c>
      <c r="Q13" s="168" t="s">
        <v>335</v>
      </c>
      <c r="R13" s="168" t="s">
        <v>335</v>
      </c>
      <c r="S13" s="168"/>
      <c r="T13" s="168">
        <v>204</v>
      </c>
      <c r="U13" s="168">
        <v>593</v>
      </c>
      <c r="V13" s="168" t="s">
        <v>335</v>
      </c>
      <c r="W13" s="168" t="s">
        <v>335</v>
      </c>
      <c r="X13" s="168" t="s">
        <v>335</v>
      </c>
    </row>
    <row r="14" spans="2:55">
      <c r="B14" s="105">
        <v>8</v>
      </c>
      <c r="C14" s="22"/>
      <c r="D14" s="22"/>
      <c r="E14" s="22"/>
      <c r="F14" s="20" t="s">
        <v>102</v>
      </c>
      <c r="G14" s="21" t="s">
        <v>103</v>
      </c>
      <c r="H14" s="168" t="s">
        <v>335</v>
      </c>
      <c r="I14" s="168">
        <v>1785</v>
      </c>
      <c r="J14" s="168" t="s">
        <v>335</v>
      </c>
      <c r="K14" s="168" t="s">
        <v>335</v>
      </c>
      <c r="L14" s="168" t="s">
        <v>335</v>
      </c>
      <c r="M14" s="168" t="s">
        <v>335</v>
      </c>
      <c r="N14" s="168"/>
      <c r="O14" s="168">
        <v>33</v>
      </c>
      <c r="P14" s="168">
        <v>288</v>
      </c>
      <c r="Q14" s="168" t="s">
        <v>335</v>
      </c>
      <c r="R14" s="168" t="s">
        <v>335</v>
      </c>
      <c r="S14" s="168"/>
      <c r="T14" s="168" t="s">
        <v>335</v>
      </c>
      <c r="U14" s="168" t="s">
        <v>335</v>
      </c>
      <c r="V14" s="168">
        <v>70</v>
      </c>
      <c r="W14" s="168" t="s">
        <v>335</v>
      </c>
      <c r="X14" s="168" t="s">
        <v>335</v>
      </c>
    </row>
    <row r="15" spans="2:55" ht="19.95" customHeight="1">
      <c r="B15" s="105">
        <v>9</v>
      </c>
      <c r="C15" s="22"/>
      <c r="D15" s="22"/>
      <c r="E15" s="22"/>
      <c r="F15" s="20" t="s">
        <v>104</v>
      </c>
      <c r="G15" s="21" t="s">
        <v>105</v>
      </c>
      <c r="H15" s="169"/>
      <c r="I15" s="168" t="s">
        <v>335</v>
      </c>
      <c r="J15" s="168" t="s">
        <v>335</v>
      </c>
      <c r="K15" s="168"/>
      <c r="L15" s="168">
        <v>232</v>
      </c>
      <c r="M15" s="168" t="s">
        <v>335</v>
      </c>
      <c r="N15" s="168"/>
      <c r="O15" s="168" t="s">
        <v>335</v>
      </c>
      <c r="P15" s="168" t="s">
        <v>335</v>
      </c>
      <c r="Q15" s="168" t="s">
        <v>335</v>
      </c>
      <c r="R15" s="168" t="s">
        <v>335</v>
      </c>
      <c r="S15" s="168"/>
      <c r="T15" s="168" t="s">
        <v>335</v>
      </c>
      <c r="U15" s="168" t="s">
        <v>335</v>
      </c>
      <c r="V15" s="168" t="s">
        <v>335</v>
      </c>
      <c r="W15" s="168" t="s">
        <v>335</v>
      </c>
      <c r="X15" s="168" t="s">
        <v>335</v>
      </c>
    </row>
    <row r="16" spans="2:55">
      <c r="B16" s="105">
        <v>10</v>
      </c>
      <c r="C16" s="22"/>
      <c r="D16" s="22"/>
      <c r="E16" s="22"/>
      <c r="F16" s="20" t="s">
        <v>191</v>
      </c>
      <c r="G16" s="21" t="s">
        <v>362</v>
      </c>
      <c r="H16" s="168">
        <v>457</v>
      </c>
      <c r="I16" s="168"/>
      <c r="J16" s="168"/>
      <c r="K16" s="168"/>
      <c r="L16" s="168"/>
      <c r="M16" s="168"/>
      <c r="N16" s="168"/>
      <c r="O16" s="168"/>
      <c r="P16" s="168"/>
      <c r="Q16" s="168"/>
      <c r="R16" s="168"/>
      <c r="S16" s="168"/>
      <c r="T16" s="174"/>
      <c r="U16" s="174"/>
      <c r="V16" s="174"/>
      <c r="W16" s="174"/>
      <c r="X16" s="174"/>
    </row>
    <row r="17" spans="2:25">
      <c r="B17" s="105">
        <v>11</v>
      </c>
      <c r="C17" s="22"/>
      <c r="D17" s="22"/>
      <c r="E17" s="22"/>
      <c r="F17" s="20" t="s">
        <v>106</v>
      </c>
      <c r="G17" s="21" t="s">
        <v>107</v>
      </c>
      <c r="H17" s="168"/>
      <c r="I17" s="168" t="s">
        <v>335</v>
      </c>
      <c r="J17" s="168" t="s">
        <v>335</v>
      </c>
      <c r="K17" s="168">
        <v>377</v>
      </c>
      <c r="L17" s="168">
        <f>670-295</f>
        <v>375</v>
      </c>
      <c r="M17" s="168">
        <v>295</v>
      </c>
      <c r="N17" s="168"/>
      <c r="O17" s="168" t="s">
        <v>335</v>
      </c>
      <c r="P17" s="168" t="s">
        <v>335</v>
      </c>
      <c r="Q17" s="168" t="s">
        <v>335</v>
      </c>
      <c r="R17" s="168" t="s">
        <v>335</v>
      </c>
      <c r="S17" s="168"/>
      <c r="T17" s="168" t="s">
        <v>335</v>
      </c>
      <c r="U17" s="168" t="s">
        <v>335</v>
      </c>
      <c r="V17" s="168" t="s">
        <v>335</v>
      </c>
      <c r="W17" s="168" t="s">
        <v>335</v>
      </c>
      <c r="X17" s="168" t="s">
        <v>335</v>
      </c>
    </row>
    <row r="18" spans="2:25" ht="18" customHeight="1">
      <c r="B18" s="105">
        <v>12</v>
      </c>
      <c r="C18" s="23"/>
      <c r="D18" s="23"/>
      <c r="E18" s="23"/>
      <c r="F18" s="20" t="s">
        <v>110</v>
      </c>
      <c r="G18" s="21" t="s">
        <v>109</v>
      </c>
      <c r="H18" s="168" t="s">
        <v>335</v>
      </c>
      <c r="I18" s="168" t="s">
        <v>335</v>
      </c>
      <c r="J18" s="168" t="s">
        <v>335</v>
      </c>
      <c r="K18" s="168">
        <v>65</v>
      </c>
      <c r="L18" s="168">
        <v>46</v>
      </c>
      <c r="M18" s="168" t="s">
        <v>335</v>
      </c>
      <c r="N18" s="168"/>
      <c r="O18" s="168" t="s">
        <v>335</v>
      </c>
      <c r="P18" s="168" t="s">
        <v>335</v>
      </c>
      <c r="Q18" s="168" t="s">
        <v>335</v>
      </c>
      <c r="R18" s="168" t="s">
        <v>335</v>
      </c>
      <c r="S18" s="168"/>
      <c r="T18" s="168" t="s">
        <v>335</v>
      </c>
      <c r="U18" s="168" t="s">
        <v>335</v>
      </c>
      <c r="V18" s="168" t="s">
        <v>335</v>
      </c>
      <c r="W18" s="168" t="s">
        <v>335</v>
      </c>
      <c r="X18" s="168">
        <v>28</v>
      </c>
    </row>
    <row r="19" spans="2:25">
      <c r="B19" s="105">
        <v>13</v>
      </c>
      <c r="C19" s="19" t="s">
        <v>12</v>
      </c>
      <c r="D19" s="19" t="s">
        <v>111</v>
      </c>
      <c r="E19" s="24" t="s">
        <v>0</v>
      </c>
      <c r="F19" s="20" t="s">
        <v>112</v>
      </c>
      <c r="G19" s="21" t="s">
        <v>113</v>
      </c>
      <c r="H19" s="168" t="s">
        <v>335</v>
      </c>
      <c r="I19" s="168" t="s">
        <v>335</v>
      </c>
      <c r="J19" s="168" t="s">
        <v>335</v>
      </c>
      <c r="K19" s="168" t="s">
        <v>335</v>
      </c>
      <c r="L19" s="168" t="s">
        <v>335</v>
      </c>
      <c r="M19" s="168" t="s">
        <v>335</v>
      </c>
      <c r="N19" s="168"/>
      <c r="O19" s="168" t="s">
        <v>335</v>
      </c>
      <c r="P19" s="168" t="s">
        <v>335</v>
      </c>
      <c r="Q19" s="168" t="s">
        <v>335</v>
      </c>
      <c r="R19" s="168" t="s">
        <v>335</v>
      </c>
      <c r="S19" s="168"/>
      <c r="T19" s="168">
        <v>36</v>
      </c>
      <c r="U19" s="168">
        <v>58</v>
      </c>
      <c r="V19" s="168" t="s">
        <v>335</v>
      </c>
      <c r="W19" s="168" t="s">
        <v>335</v>
      </c>
      <c r="X19" s="168" t="s">
        <v>335</v>
      </c>
      <c r="Y19" s="173"/>
    </row>
    <row r="20" spans="2:25">
      <c r="B20" s="105">
        <v>14</v>
      </c>
      <c r="C20" s="22"/>
      <c r="D20" s="22"/>
      <c r="E20" s="19" t="s">
        <v>114</v>
      </c>
      <c r="F20" s="20" t="s">
        <v>115</v>
      </c>
      <c r="G20" s="21" t="s">
        <v>116</v>
      </c>
      <c r="H20" s="168" t="s">
        <v>335</v>
      </c>
      <c r="I20" s="168" t="s">
        <v>335</v>
      </c>
      <c r="J20" s="168" t="s">
        <v>335</v>
      </c>
      <c r="K20" s="168" t="s">
        <v>335</v>
      </c>
      <c r="L20" s="168" t="s">
        <v>335</v>
      </c>
      <c r="M20" s="168" t="s">
        <v>335</v>
      </c>
      <c r="N20" s="168"/>
      <c r="O20" s="168" t="s">
        <v>335</v>
      </c>
      <c r="P20" s="168" t="s">
        <v>335</v>
      </c>
      <c r="Q20" s="168" t="s">
        <v>335</v>
      </c>
      <c r="R20" s="168" t="s">
        <v>335</v>
      </c>
      <c r="S20" s="168"/>
      <c r="T20" s="168" t="s">
        <v>335</v>
      </c>
      <c r="U20" s="169"/>
      <c r="V20" s="168">
        <v>6</v>
      </c>
      <c r="W20" s="168" t="s">
        <v>335</v>
      </c>
      <c r="X20" s="168" t="s">
        <v>335</v>
      </c>
    </row>
    <row r="21" spans="2:25">
      <c r="B21" s="105">
        <v>15</v>
      </c>
      <c r="C21" s="22"/>
      <c r="D21" s="22"/>
      <c r="E21" s="22"/>
      <c r="F21" s="23" t="s">
        <v>117</v>
      </c>
      <c r="G21" s="21" t="s">
        <v>118</v>
      </c>
      <c r="H21" s="168" t="s">
        <v>335</v>
      </c>
      <c r="I21" s="168" t="s">
        <v>335</v>
      </c>
      <c r="J21" s="168" t="s">
        <v>335</v>
      </c>
      <c r="K21" s="168" t="s">
        <v>335</v>
      </c>
      <c r="L21" s="168" t="s">
        <v>335</v>
      </c>
      <c r="M21" s="168" t="s">
        <v>335</v>
      </c>
      <c r="N21" s="168"/>
      <c r="O21" s="168" t="s">
        <v>335</v>
      </c>
      <c r="P21" s="168" t="s">
        <v>335</v>
      </c>
      <c r="Q21" s="168" t="s">
        <v>335</v>
      </c>
      <c r="R21" s="168" t="s">
        <v>335</v>
      </c>
      <c r="S21" s="168"/>
      <c r="T21" s="168" t="s">
        <v>335</v>
      </c>
      <c r="U21" s="168" t="s">
        <v>335</v>
      </c>
      <c r="V21" s="168">
        <v>10</v>
      </c>
      <c r="W21" s="168" t="s">
        <v>335</v>
      </c>
      <c r="X21" s="168" t="s">
        <v>335</v>
      </c>
    </row>
    <row r="22" spans="2:25">
      <c r="B22" s="105">
        <v>16</v>
      </c>
      <c r="C22" s="22"/>
      <c r="D22" s="23"/>
      <c r="E22" s="20" t="s">
        <v>119</v>
      </c>
      <c r="F22" s="20" t="s">
        <v>120</v>
      </c>
      <c r="G22" s="21" t="s">
        <v>121</v>
      </c>
      <c r="H22" s="168" t="s">
        <v>335</v>
      </c>
      <c r="I22" s="168" t="s">
        <v>335</v>
      </c>
      <c r="J22" s="168" t="s">
        <v>335</v>
      </c>
      <c r="K22" s="168" t="s">
        <v>335</v>
      </c>
      <c r="L22" s="168" t="s">
        <v>335</v>
      </c>
      <c r="M22" s="168" t="s">
        <v>335</v>
      </c>
      <c r="N22" s="168"/>
      <c r="O22" s="168" t="s">
        <v>335</v>
      </c>
      <c r="P22" s="168" t="s">
        <v>335</v>
      </c>
      <c r="Q22" s="168" t="s">
        <v>335</v>
      </c>
      <c r="R22" s="168"/>
      <c r="S22" s="168">
        <v>37</v>
      </c>
      <c r="T22" s="168" t="s">
        <v>335</v>
      </c>
      <c r="U22" s="168" t="s">
        <v>335</v>
      </c>
      <c r="V22" s="168" t="s">
        <v>335</v>
      </c>
      <c r="W22" s="168" t="s">
        <v>335</v>
      </c>
      <c r="X22" s="168" t="s">
        <v>335</v>
      </c>
    </row>
    <row r="23" spans="2:25">
      <c r="B23" s="105">
        <v>17</v>
      </c>
      <c r="C23" s="25"/>
      <c r="D23" s="19" t="s">
        <v>122</v>
      </c>
      <c r="E23" s="19" t="s">
        <v>122</v>
      </c>
      <c r="F23" s="27" t="s">
        <v>11</v>
      </c>
      <c r="G23" s="26" t="s">
        <v>10</v>
      </c>
      <c r="H23" s="168" t="s">
        <v>335</v>
      </c>
      <c r="I23" s="168" t="s">
        <v>335</v>
      </c>
      <c r="J23" s="168" t="s">
        <v>335</v>
      </c>
      <c r="K23" s="168" t="s">
        <v>335</v>
      </c>
      <c r="L23" s="168" t="s">
        <v>335</v>
      </c>
      <c r="M23" s="168" t="s">
        <v>335</v>
      </c>
      <c r="N23" s="168"/>
      <c r="O23" s="168" t="s">
        <v>335</v>
      </c>
      <c r="P23" s="168" t="s">
        <v>335</v>
      </c>
      <c r="Q23" s="169"/>
      <c r="R23" s="168"/>
      <c r="S23" s="168">
        <v>18</v>
      </c>
      <c r="T23" s="168" t="s">
        <v>335</v>
      </c>
      <c r="U23" s="168" t="s">
        <v>335</v>
      </c>
      <c r="V23" s="168" t="s">
        <v>335</v>
      </c>
      <c r="W23" s="168" t="s">
        <v>335</v>
      </c>
      <c r="X23" s="168" t="s">
        <v>335</v>
      </c>
    </row>
    <row r="24" spans="2:25" ht="17.399999999999999" customHeight="1">
      <c r="B24" s="105">
        <v>18</v>
      </c>
      <c r="C24" s="25"/>
      <c r="D24" s="19" t="s">
        <v>124</v>
      </c>
      <c r="E24" s="19" t="s">
        <v>125</v>
      </c>
      <c r="F24" s="27" t="s">
        <v>126</v>
      </c>
      <c r="G24" s="26" t="s">
        <v>127</v>
      </c>
      <c r="H24" s="168" t="s">
        <v>335</v>
      </c>
      <c r="I24" s="168" t="s">
        <v>335</v>
      </c>
      <c r="J24" s="168" t="s">
        <v>335</v>
      </c>
      <c r="K24" s="168" t="s">
        <v>335</v>
      </c>
      <c r="L24" s="168" t="s">
        <v>335</v>
      </c>
      <c r="M24" s="168" t="s">
        <v>335</v>
      </c>
      <c r="N24" s="168"/>
      <c r="O24" s="168">
        <v>17</v>
      </c>
      <c r="P24" s="168" t="s">
        <v>335</v>
      </c>
      <c r="Q24" s="168" t="s">
        <v>335</v>
      </c>
      <c r="R24" s="168" t="s">
        <v>335</v>
      </c>
      <c r="S24" s="168"/>
      <c r="T24" s="168" t="s">
        <v>335</v>
      </c>
      <c r="U24" s="168" t="s">
        <v>335</v>
      </c>
      <c r="V24" s="168" t="s">
        <v>335</v>
      </c>
      <c r="W24" s="168" t="s">
        <v>335</v>
      </c>
      <c r="X24" s="168" t="s">
        <v>335</v>
      </c>
    </row>
    <row r="25" spans="2:25" ht="18.600000000000001" thickBot="1">
      <c r="B25" s="105">
        <v>19</v>
      </c>
      <c r="C25" s="28"/>
      <c r="D25" s="29" t="s">
        <v>128</v>
      </c>
      <c r="E25" s="29" t="s">
        <v>128</v>
      </c>
      <c r="F25" s="30" t="s">
        <v>128</v>
      </c>
      <c r="G25" s="31" t="s">
        <v>129</v>
      </c>
      <c r="H25" s="180" t="s">
        <v>335</v>
      </c>
      <c r="I25" s="180" t="s">
        <v>335</v>
      </c>
      <c r="J25" s="180" t="s">
        <v>335</v>
      </c>
      <c r="K25" s="180" t="s">
        <v>335</v>
      </c>
      <c r="L25" s="180" t="s">
        <v>335</v>
      </c>
      <c r="M25" s="180" t="s">
        <v>335</v>
      </c>
      <c r="N25" s="180"/>
      <c r="O25" s="180" t="s">
        <v>335</v>
      </c>
      <c r="P25" s="180" t="s">
        <v>335</v>
      </c>
      <c r="Q25" s="180">
        <v>13</v>
      </c>
      <c r="R25" s="180" t="s">
        <v>335</v>
      </c>
      <c r="S25" s="180"/>
      <c r="T25" s="180" t="s">
        <v>335</v>
      </c>
      <c r="U25" s="180" t="s">
        <v>335</v>
      </c>
      <c r="V25" s="180">
        <v>59</v>
      </c>
      <c r="W25" s="180" t="s">
        <v>335</v>
      </c>
      <c r="X25" s="180" t="s">
        <v>335</v>
      </c>
    </row>
    <row r="26" spans="2:25" ht="19.2" thickTop="1" thickBot="1">
      <c r="B26" s="392" t="s">
        <v>349</v>
      </c>
      <c r="C26" s="393"/>
      <c r="D26" s="393"/>
      <c r="E26" s="393"/>
      <c r="F26" s="394"/>
      <c r="G26" s="184" t="s">
        <v>2</v>
      </c>
      <c r="H26" s="185">
        <f t="shared" ref="H26:X26" si="0">SUM(H7:H25)</f>
        <v>457</v>
      </c>
      <c r="I26" s="185">
        <f t="shared" si="0"/>
        <v>1785</v>
      </c>
      <c r="J26" s="185">
        <f t="shared" si="0"/>
        <v>1041</v>
      </c>
      <c r="K26" s="185">
        <f t="shared" si="0"/>
        <v>442</v>
      </c>
      <c r="L26" s="185">
        <f t="shared" si="0"/>
        <v>662</v>
      </c>
      <c r="M26" s="185">
        <f t="shared" si="0"/>
        <v>295</v>
      </c>
      <c r="N26" s="185">
        <f t="shared" si="0"/>
        <v>200</v>
      </c>
      <c r="O26" s="185">
        <f t="shared" si="0"/>
        <v>50</v>
      </c>
      <c r="P26" s="185">
        <f t="shared" si="0"/>
        <v>288</v>
      </c>
      <c r="Q26" s="185">
        <f t="shared" si="0"/>
        <v>514</v>
      </c>
      <c r="R26" s="185">
        <f t="shared" si="0"/>
        <v>29</v>
      </c>
      <c r="S26" s="185">
        <f t="shared" si="0"/>
        <v>55</v>
      </c>
      <c r="T26" s="185">
        <f t="shared" si="0"/>
        <v>479</v>
      </c>
      <c r="U26" s="185">
        <f t="shared" si="0"/>
        <v>655</v>
      </c>
      <c r="V26" s="185">
        <f t="shared" si="0"/>
        <v>154</v>
      </c>
      <c r="W26" s="185">
        <f t="shared" si="0"/>
        <v>1615</v>
      </c>
      <c r="X26" s="185">
        <f t="shared" si="0"/>
        <v>1009</v>
      </c>
    </row>
    <row r="27" spans="2:25" ht="18.600000000000001" thickTop="1">
      <c r="B27" s="397" t="s">
        <v>355</v>
      </c>
      <c r="C27" s="397"/>
      <c r="D27" s="397"/>
      <c r="E27" s="397"/>
      <c r="F27" s="397"/>
      <c r="G27" s="182"/>
      <c r="H27" s="398">
        <f>H26+I26</f>
        <v>2242</v>
      </c>
      <c r="I27" s="398"/>
      <c r="J27" s="183">
        <f>SUM(J7:J25)</f>
        <v>1041</v>
      </c>
      <c r="K27" s="398">
        <f>K26+L26+M26</f>
        <v>1399</v>
      </c>
      <c r="L27" s="398"/>
      <c r="M27" s="398"/>
      <c r="N27" s="183">
        <f>SUM(N7:N25)</f>
        <v>200</v>
      </c>
      <c r="O27" s="398">
        <f>O26+P26</f>
        <v>338</v>
      </c>
      <c r="P27" s="398"/>
      <c r="Q27" s="183">
        <f t="shared" ref="Q27:X27" si="1">SUM(Q7:Q25)</f>
        <v>514</v>
      </c>
      <c r="R27" s="183">
        <f t="shared" si="1"/>
        <v>29</v>
      </c>
      <c r="S27" s="214">
        <f t="shared" si="1"/>
        <v>55</v>
      </c>
      <c r="T27" s="179">
        <f t="shared" si="1"/>
        <v>479</v>
      </c>
      <c r="U27" s="179">
        <f t="shared" si="1"/>
        <v>655</v>
      </c>
      <c r="V27" s="179">
        <f t="shared" si="1"/>
        <v>154</v>
      </c>
      <c r="W27" s="179">
        <f t="shared" si="1"/>
        <v>1615</v>
      </c>
      <c r="X27" s="179">
        <f t="shared" si="1"/>
        <v>1009</v>
      </c>
    </row>
    <row r="28" spans="2:25">
      <c r="B28" s="399" t="s">
        <v>350</v>
      </c>
      <c r="C28" s="399"/>
      <c r="D28" s="399"/>
      <c r="E28" s="399"/>
      <c r="F28" s="399"/>
      <c r="G28" s="174"/>
      <c r="H28" s="378">
        <f>0.25*2</f>
        <v>0.5</v>
      </c>
      <c r="I28" s="378"/>
      <c r="J28" s="176">
        <f>0.25</f>
        <v>0.25</v>
      </c>
      <c r="K28" s="400">
        <f>0.25*2+0.125</f>
        <v>0.625</v>
      </c>
      <c r="L28" s="400"/>
      <c r="M28" s="400"/>
      <c r="N28" s="177">
        <f>0.125</f>
        <v>0.125</v>
      </c>
      <c r="O28" s="379">
        <f>0.25*2</f>
        <v>0.5</v>
      </c>
      <c r="P28" s="379"/>
      <c r="Q28" s="176">
        <f>0.25</f>
        <v>0.25</v>
      </c>
      <c r="R28" s="215">
        <f>0.25/2</f>
        <v>0.125</v>
      </c>
      <c r="S28" s="215">
        <f>0.25/2</f>
        <v>0.125</v>
      </c>
      <c r="T28" s="187">
        <v>0.25</v>
      </c>
      <c r="U28" s="187">
        <v>0.25</v>
      </c>
      <c r="V28" s="187">
        <v>0.25</v>
      </c>
      <c r="W28" s="187">
        <v>0.25</v>
      </c>
      <c r="X28" s="187">
        <v>0.25</v>
      </c>
    </row>
    <row r="29" spans="2:25" ht="19.95" customHeight="1">
      <c r="B29" s="377" t="s">
        <v>351</v>
      </c>
      <c r="C29" s="377"/>
      <c r="D29" s="377"/>
      <c r="E29" s="377"/>
      <c r="F29" s="377"/>
      <c r="G29" s="174"/>
      <c r="H29" s="396">
        <f>H27/H28</f>
        <v>4484</v>
      </c>
      <c r="I29" s="396"/>
      <c r="J29" s="175">
        <f>J27/J28</f>
        <v>4164</v>
      </c>
      <c r="K29" s="396">
        <f>K27/K28</f>
        <v>2238.4</v>
      </c>
      <c r="L29" s="396"/>
      <c r="M29" s="396"/>
      <c r="N29" s="175">
        <f>N27/N28</f>
        <v>1600</v>
      </c>
      <c r="O29" s="396">
        <f>O27/O28</f>
        <v>676</v>
      </c>
      <c r="P29" s="396"/>
      <c r="Q29" s="175">
        <f>Q27/Q28</f>
        <v>2056</v>
      </c>
      <c r="R29" s="175">
        <f>R27/R28</f>
        <v>232</v>
      </c>
      <c r="S29" s="213">
        <f>S27/S28</f>
        <v>440</v>
      </c>
      <c r="T29" s="178">
        <f>T27/T28</f>
        <v>1916</v>
      </c>
      <c r="U29" s="178">
        <f>U27/U28</f>
        <v>2620</v>
      </c>
      <c r="V29" s="178">
        <f t="shared" ref="V29:X29" si="2">V27/V28</f>
        <v>616</v>
      </c>
      <c r="W29" s="178">
        <f t="shared" si="2"/>
        <v>6460</v>
      </c>
      <c r="X29" s="178">
        <f t="shared" si="2"/>
        <v>4036</v>
      </c>
      <c r="Y29" s="173"/>
    </row>
    <row r="30" spans="2:25">
      <c r="B30" s="377" t="s">
        <v>352</v>
      </c>
      <c r="C30" s="377"/>
      <c r="D30" s="377"/>
      <c r="E30" s="377"/>
      <c r="F30" s="377"/>
      <c r="G30" s="174"/>
      <c r="H30" s="378">
        <f>H29/1000</f>
        <v>4.484</v>
      </c>
      <c r="I30" s="378"/>
      <c r="J30" s="176">
        <f>J29/1000</f>
        <v>4.1639999999999997</v>
      </c>
      <c r="K30" s="379">
        <f>K29/1000</f>
        <v>2.2383999999999999</v>
      </c>
      <c r="L30" s="379"/>
      <c r="M30" s="379"/>
      <c r="N30" s="176">
        <f>N29/1000</f>
        <v>1.6</v>
      </c>
      <c r="O30" s="379">
        <f>O29/1000</f>
        <v>0.67600000000000005</v>
      </c>
      <c r="P30" s="379"/>
      <c r="Q30" s="176">
        <f>Q29/1000</f>
        <v>2.056</v>
      </c>
      <c r="R30" s="176">
        <f>R29/1000</f>
        <v>0.23200000000000001</v>
      </c>
      <c r="S30" s="216">
        <f>S29/1000</f>
        <v>0.44</v>
      </c>
      <c r="T30" s="187">
        <f>T29/1000</f>
        <v>1.9159999999999999</v>
      </c>
      <c r="U30" s="187">
        <f t="shared" ref="U30:X30" si="3">U29/1000</f>
        <v>2.62</v>
      </c>
      <c r="V30" s="187">
        <f t="shared" si="3"/>
        <v>0.61599999999999999</v>
      </c>
      <c r="W30" s="187">
        <f t="shared" si="3"/>
        <v>6.46</v>
      </c>
      <c r="X30" s="187">
        <f t="shared" si="3"/>
        <v>4.0359999999999996</v>
      </c>
      <c r="Y30" s="173"/>
    </row>
    <row r="31" spans="2:25" ht="18.600000000000001" thickBot="1">
      <c r="B31" s="395" t="s">
        <v>353</v>
      </c>
      <c r="C31" s="395"/>
      <c r="D31" s="395"/>
      <c r="E31" s="395"/>
      <c r="F31" s="395"/>
      <c r="G31" s="186"/>
      <c r="H31" s="375">
        <f>H30*10</f>
        <v>44.84</v>
      </c>
      <c r="I31" s="375"/>
      <c r="J31" s="240">
        <f>J30*10</f>
        <v>41.64</v>
      </c>
      <c r="K31" s="375">
        <f>K30*10</f>
        <v>22.384</v>
      </c>
      <c r="L31" s="375"/>
      <c r="M31" s="375"/>
      <c r="N31" s="240">
        <f>N30*10</f>
        <v>16</v>
      </c>
      <c r="O31" s="375">
        <f>O30*10</f>
        <v>6.7600000000000007</v>
      </c>
      <c r="P31" s="375"/>
      <c r="Q31" s="240">
        <f>Q30*10</f>
        <v>20.560000000000002</v>
      </c>
      <c r="R31" s="240">
        <f>R30*10</f>
        <v>2.3200000000000003</v>
      </c>
      <c r="S31" s="240">
        <f>S30*10</f>
        <v>4.4000000000000004</v>
      </c>
      <c r="T31" s="189">
        <f>T30*10</f>
        <v>19.16</v>
      </c>
      <c r="U31" s="189">
        <f t="shared" ref="U31:X31" si="4">U30*10</f>
        <v>26.200000000000003</v>
      </c>
      <c r="V31" s="189">
        <f t="shared" si="4"/>
        <v>6.16</v>
      </c>
      <c r="W31" s="189">
        <f t="shared" si="4"/>
        <v>64.599999999999994</v>
      </c>
      <c r="X31" s="189">
        <f t="shared" si="4"/>
        <v>40.36</v>
      </c>
      <c r="Y31" s="173"/>
    </row>
    <row r="32" spans="2:25" ht="18.600000000000001" thickTop="1">
      <c r="B32" s="241"/>
      <c r="C32" s="242"/>
      <c r="D32" s="242"/>
      <c r="E32" s="242"/>
      <c r="F32" s="242"/>
      <c r="G32" s="242"/>
      <c r="H32" s="406" t="s">
        <v>409</v>
      </c>
      <c r="I32" s="406"/>
      <c r="J32" s="280" t="s">
        <v>410</v>
      </c>
      <c r="K32" s="406" t="s">
        <v>411</v>
      </c>
      <c r="L32" s="406"/>
      <c r="M32" s="406"/>
      <c r="N32" s="280" t="s">
        <v>412</v>
      </c>
      <c r="O32" s="406" t="s">
        <v>413</v>
      </c>
      <c r="P32" s="406"/>
      <c r="Q32" s="280" t="s">
        <v>414</v>
      </c>
      <c r="R32" s="242"/>
      <c r="S32" s="242"/>
      <c r="T32" s="244" t="s">
        <v>386</v>
      </c>
      <c r="U32" s="408">
        <f>AVERAGE(T31:V31)</f>
        <v>17.173333333333332</v>
      </c>
      <c r="V32" s="409"/>
      <c r="W32" s="410">
        <f>AVERAGE(W31:X31)</f>
        <v>52.48</v>
      </c>
      <c r="X32" s="409"/>
      <c r="Y32" s="173"/>
    </row>
    <row r="33" spans="2:28">
      <c r="B33" s="242"/>
      <c r="C33" s="242"/>
      <c r="D33" s="242"/>
      <c r="E33" s="242"/>
      <c r="F33" s="242"/>
      <c r="G33" s="242"/>
      <c r="H33" s="243"/>
      <c r="I33" s="243"/>
      <c r="J33" s="243"/>
      <c r="K33" s="243"/>
      <c r="L33" s="243"/>
      <c r="M33" s="243"/>
      <c r="N33" s="243"/>
      <c r="O33" s="243"/>
      <c r="P33" s="243"/>
      <c r="Q33" s="243"/>
      <c r="R33" s="243"/>
      <c r="S33" s="243"/>
      <c r="T33" s="243"/>
      <c r="U33" s="407" t="s">
        <v>407</v>
      </c>
      <c r="V33" s="407"/>
      <c r="W33" s="407" t="s">
        <v>408</v>
      </c>
      <c r="X33" s="407"/>
      <c r="Y33" s="173"/>
    </row>
    <row r="34" spans="2:28" ht="22.2" customHeight="1">
      <c r="H34" s="161"/>
      <c r="I34" s="161"/>
      <c r="J34" s="161"/>
      <c r="K34" s="161"/>
      <c r="L34" s="161"/>
      <c r="M34" s="161"/>
      <c r="N34" s="161"/>
      <c r="O34" s="161"/>
      <c r="P34" s="161"/>
      <c r="Q34" s="161"/>
      <c r="T34" s="161"/>
      <c r="U34" s="161"/>
      <c r="V34" s="161"/>
      <c r="W34" s="161"/>
      <c r="X34" s="161"/>
    </row>
    <row r="35" spans="2:28">
      <c r="H35" s="161"/>
      <c r="I35" s="161"/>
      <c r="J35" s="161"/>
      <c r="K35" s="161"/>
      <c r="L35" s="161"/>
      <c r="M35" s="161"/>
      <c r="N35" s="161"/>
      <c r="O35" s="161"/>
      <c r="P35" s="161"/>
      <c r="Q35" s="161"/>
      <c r="T35" s="161"/>
      <c r="U35" s="161"/>
      <c r="V35" s="161"/>
      <c r="W35" s="161"/>
      <c r="X35" s="161"/>
      <c r="AB35" s="155"/>
    </row>
    <row r="36" spans="2:28">
      <c r="H36" s="161"/>
      <c r="I36" s="161"/>
      <c r="J36" s="161"/>
      <c r="K36" s="161"/>
      <c r="L36" s="161"/>
      <c r="M36" s="161"/>
      <c r="N36" s="161"/>
      <c r="O36" s="161"/>
      <c r="P36" s="161"/>
      <c r="Q36" s="161"/>
      <c r="T36" s="161"/>
      <c r="U36" s="161"/>
      <c r="V36" s="161"/>
      <c r="W36" s="161"/>
      <c r="X36" s="161"/>
    </row>
    <row r="37" spans="2:28">
      <c r="H37" s="161"/>
      <c r="I37" s="161"/>
      <c r="J37" s="161"/>
      <c r="K37" s="161"/>
      <c r="L37" s="161"/>
      <c r="M37" s="161"/>
      <c r="N37" s="161"/>
      <c r="O37" s="161"/>
      <c r="P37" s="161"/>
      <c r="Q37" s="161"/>
      <c r="T37" s="161"/>
      <c r="U37" s="161"/>
      <c r="V37" s="161"/>
      <c r="W37" s="161"/>
      <c r="X37" s="161"/>
    </row>
    <row r="38" spans="2:28">
      <c r="H38" s="161"/>
      <c r="I38" s="161"/>
      <c r="J38" s="161"/>
      <c r="K38" s="161"/>
      <c r="L38" s="161"/>
      <c r="M38" s="161"/>
      <c r="N38" s="161"/>
      <c r="O38" s="161"/>
      <c r="P38" s="161"/>
      <c r="Q38" s="161"/>
      <c r="T38" s="161"/>
      <c r="U38" s="161"/>
      <c r="V38" s="161"/>
      <c r="W38" s="161"/>
      <c r="X38" s="161"/>
    </row>
    <row r="39" spans="2:28">
      <c r="H39" s="161"/>
      <c r="I39" s="161"/>
      <c r="J39" s="161"/>
      <c r="K39" s="161"/>
      <c r="L39" s="161"/>
      <c r="M39" s="161"/>
      <c r="N39" s="161"/>
      <c r="O39" s="161"/>
      <c r="P39" s="161"/>
      <c r="Q39" s="161"/>
      <c r="T39" s="161"/>
      <c r="U39" s="161"/>
      <c r="V39" s="161"/>
      <c r="W39" s="161"/>
      <c r="X39" s="161"/>
    </row>
    <row r="40" spans="2:28">
      <c r="H40" s="161"/>
      <c r="I40" s="161"/>
      <c r="J40" s="161"/>
      <c r="K40" s="161"/>
      <c r="L40" s="161"/>
      <c r="M40" s="161"/>
      <c r="N40" s="161"/>
      <c r="O40" s="161"/>
      <c r="P40" s="161"/>
      <c r="Q40" s="161"/>
      <c r="T40" s="161"/>
      <c r="U40" s="161"/>
      <c r="V40" s="161"/>
      <c r="W40" s="161"/>
      <c r="X40" s="161"/>
    </row>
    <row r="41" spans="2:28">
      <c r="H41" s="161"/>
      <c r="I41" s="161"/>
      <c r="J41" s="161"/>
      <c r="K41" s="161"/>
      <c r="L41" s="161"/>
      <c r="M41" s="162"/>
      <c r="N41" s="162"/>
      <c r="O41" s="161"/>
      <c r="P41" s="161"/>
      <c r="Q41" s="161"/>
      <c r="T41" s="161"/>
      <c r="U41" s="161"/>
      <c r="V41" s="161"/>
      <c r="W41" s="161"/>
      <c r="X41" s="161"/>
    </row>
    <row r="42" spans="2:28">
      <c r="H42" s="161"/>
      <c r="I42" s="161"/>
      <c r="J42" s="161"/>
      <c r="K42" s="161"/>
      <c r="L42" s="161"/>
      <c r="M42" s="161"/>
      <c r="N42" s="161"/>
      <c r="O42" s="161"/>
      <c r="P42" s="161"/>
      <c r="Q42" s="161"/>
      <c r="T42" s="161"/>
      <c r="U42" s="161"/>
      <c r="V42" s="161"/>
      <c r="W42" s="161"/>
      <c r="X42" s="161"/>
    </row>
    <row r="43" spans="2:28">
      <c r="H43" s="161"/>
      <c r="I43" s="161"/>
      <c r="J43" s="161"/>
      <c r="K43" s="161"/>
      <c r="L43" s="161"/>
      <c r="M43" s="161"/>
      <c r="N43" s="161"/>
      <c r="O43" s="161"/>
      <c r="P43" s="161"/>
      <c r="Q43" s="161"/>
      <c r="T43" s="161"/>
      <c r="U43" s="161"/>
      <c r="V43" s="161"/>
      <c r="W43" s="161"/>
      <c r="X43" s="161"/>
    </row>
    <row r="44" spans="2:28">
      <c r="H44" s="161"/>
      <c r="I44" s="161"/>
      <c r="J44" s="161"/>
      <c r="K44" s="161"/>
      <c r="L44" s="161"/>
      <c r="M44" s="161"/>
      <c r="N44" s="161"/>
      <c r="O44" s="161"/>
      <c r="P44" s="161"/>
      <c r="Q44" s="161"/>
      <c r="T44" s="161"/>
      <c r="U44" s="161"/>
      <c r="V44" s="161"/>
      <c r="W44" s="161"/>
      <c r="X44" s="161"/>
    </row>
    <row r="45" spans="2:28">
      <c r="H45" s="161"/>
      <c r="I45" s="161"/>
      <c r="J45" s="161"/>
      <c r="K45" s="161"/>
      <c r="L45" s="161"/>
      <c r="M45" s="161"/>
      <c r="N45" s="161"/>
      <c r="O45" s="161"/>
      <c r="P45" s="161"/>
      <c r="Q45" s="161"/>
      <c r="T45" s="161"/>
      <c r="U45" s="161"/>
      <c r="V45" s="161"/>
      <c r="W45" s="161"/>
      <c r="X45" s="161"/>
    </row>
    <row r="46" spans="2:28">
      <c r="H46" s="161"/>
      <c r="I46" s="162"/>
      <c r="J46" s="161"/>
      <c r="K46" s="161"/>
      <c r="L46" s="161"/>
      <c r="M46" s="161"/>
      <c r="N46" s="161"/>
      <c r="O46" s="161"/>
      <c r="P46" s="161"/>
      <c r="Q46" s="161"/>
      <c r="T46" s="161"/>
      <c r="U46" s="161"/>
      <c r="V46" s="161"/>
      <c r="W46" s="161"/>
      <c r="X46" s="161"/>
    </row>
    <row r="47" spans="2:28">
      <c r="H47" s="161"/>
      <c r="I47" s="161"/>
      <c r="J47" s="161"/>
      <c r="K47" s="161"/>
      <c r="L47" s="161"/>
      <c r="M47" s="161"/>
      <c r="N47" s="161"/>
      <c r="O47" s="161"/>
      <c r="P47" s="161"/>
      <c r="Q47" s="161"/>
      <c r="T47" s="161"/>
      <c r="U47" s="161"/>
      <c r="V47" s="161"/>
      <c r="W47" s="161"/>
      <c r="X47" s="161"/>
    </row>
    <row r="48" spans="2:28">
      <c r="H48" s="161"/>
      <c r="I48" s="161"/>
      <c r="J48" s="161"/>
      <c r="K48" s="161"/>
      <c r="L48" s="161"/>
      <c r="M48" s="161"/>
      <c r="N48" s="161"/>
      <c r="O48" s="161"/>
      <c r="P48" s="161"/>
      <c r="Q48" s="161"/>
      <c r="T48" s="161"/>
      <c r="U48" s="161"/>
      <c r="V48" s="162"/>
      <c r="W48" s="161"/>
      <c r="X48" s="161"/>
    </row>
    <row r="49" spans="8:24">
      <c r="H49" s="161"/>
      <c r="I49" s="161"/>
      <c r="J49" s="161"/>
      <c r="K49" s="161"/>
      <c r="L49" s="161"/>
      <c r="M49" s="161"/>
      <c r="N49" s="161"/>
      <c r="O49" s="161"/>
      <c r="P49" s="161"/>
      <c r="Q49" s="161"/>
      <c r="T49" s="161"/>
      <c r="U49" s="161"/>
      <c r="V49" s="161"/>
      <c r="W49" s="161"/>
      <c r="X49" s="161"/>
    </row>
    <row r="50" spans="8:24">
      <c r="H50" s="161"/>
      <c r="I50" s="161"/>
      <c r="J50" s="161"/>
      <c r="K50" s="161"/>
      <c r="L50" s="161"/>
      <c r="M50" s="161"/>
      <c r="N50" s="161"/>
      <c r="O50" s="161"/>
      <c r="P50" s="161"/>
      <c r="Q50" s="161"/>
      <c r="T50" s="161"/>
      <c r="U50" s="161"/>
      <c r="V50" s="161"/>
      <c r="W50" s="161"/>
      <c r="X50" s="161"/>
    </row>
    <row r="51" spans="8:24">
      <c r="H51" s="161"/>
      <c r="I51" s="161"/>
      <c r="J51" s="161"/>
      <c r="K51" s="161"/>
      <c r="L51" s="161"/>
      <c r="M51" s="161"/>
      <c r="N51" s="161"/>
      <c r="O51" s="161"/>
      <c r="P51" s="161"/>
      <c r="Q51" s="161"/>
      <c r="T51" s="161"/>
      <c r="U51" s="161"/>
      <c r="V51" s="161"/>
      <c r="W51" s="161"/>
      <c r="X51" s="161"/>
    </row>
    <row r="52" spans="8:24">
      <c r="H52" s="161"/>
      <c r="I52" s="161"/>
      <c r="J52" s="161"/>
      <c r="K52" s="161"/>
      <c r="L52" s="161"/>
      <c r="M52" s="161"/>
      <c r="N52" s="161"/>
      <c r="O52" s="161"/>
      <c r="P52" s="161"/>
      <c r="Q52" s="161"/>
      <c r="T52" s="161"/>
      <c r="U52" s="161"/>
      <c r="V52" s="161"/>
      <c r="W52" s="161"/>
      <c r="X52" s="161"/>
    </row>
    <row r="53" spans="8:24">
      <c r="H53" s="161"/>
      <c r="I53" s="161"/>
      <c r="J53" s="161"/>
      <c r="K53" s="161"/>
      <c r="L53" s="161"/>
      <c r="M53" s="161"/>
      <c r="N53" s="161"/>
      <c r="O53" s="161"/>
      <c r="P53" s="161"/>
      <c r="Q53" s="161"/>
      <c r="T53" s="161"/>
      <c r="U53" s="161"/>
      <c r="V53" s="161"/>
      <c r="W53" s="161"/>
      <c r="X53" s="161"/>
    </row>
    <row r="54" spans="8:24">
      <c r="H54" s="161"/>
      <c r="I54" s="161"/>
      <c r="J54" s="161"/>
      <c r="K54" s="161"/>
      <c r="L54" s="161"/>
      <c r="O54" s="161"/>
      <c r="P54" s="161"/>
      <c r="Q54" s="161"/>
      <c r="T54" s="161"/>
      <c r="U54" s="161"/>
      <c r="V54" s="161"/>
      <c r="W54" s="161"/>
      <c r="X54" s="161"/>
    </row>
    <row r="55" spans="8:24">
      <c r="H55" s="161"/>
      <c r="I55" s="161"/>
      <c r="J55" s="161"/>
      <c r="O55" s="161"/>
      <c r="P55" s="161"/>
      <c r="Q55" s="161"/>
    </row>
    <row r="56" spans="8:24">
      <c r="H56" s="161"/>
      <c r="I56" s="161"/>
      <c r="J56" s="161"/>
      <c r="K56" s="161"/>
      <c r="L56" s="161"/>
      <c r="M56" s="161"/>
      <c r="N56" s="161"/>
      <c r="O56" s="161"/>
      <c r="P56" s="161"/>
      <c r="Q56" s="161"/>
    </row>
  </sheetData>
  <mergeCells count="50">
    <mergeCell ref="H32:I32"/>
    <mergeCell ref="U33:V33"/>
    <mergeCell ref="W33:X33"/>
    <mergeCell ref="K32:M32"/>
    <mergeCell ref="O32:P32"/>
    <mergeCell ref="U32:V32"/>
    <mergeCell ref="W32:X32"/>
    <mergeCell ref="T3:X3"/>
    <mergeCell ref="C4:C6"/>
    <mergeCell ref="O4:Q4"/>
    <mergeCell ref="M5:N5"/>
    <mergeCell ref="H6:I6"/>
    <mergeCell ref="K6:M6"/>
    <mergeCell ref="O6:P6"/>
    <mergeCell ref="H4:J4"/>
    <mergeCell ref="K4:N4"/>
    <mergeCell ref="W6:X6"/>
    <mergeCell ref="E4:E6"/>
    <mergeCell ref="R4:S4"/>
    <mergeCell ref="R5:S5"/>
    <mergeCell ref="O29:P29"/>
    <mergeCell ref="B27:F27"/>
    <mergeCell ref="H27:I27"/>
    <mergeCell ref="K27:M27"/>
    <mergeCell ref="O27:P27"/>
    <mergeCell ref="B28:F28"/>
    <mergeCell ref="H28:I28"/>
    <mergeCell ref="K28:M28"/>
    <mergeCell ref="O28:P28"/>
    <mergeCell ref="H31:I31"/>
    <mergeCell ref="B29:F29"/>
    <mergeCell ref="H29:I29"/>
    <mergeCell ref="K31:M31"/>
    <mergeCell ref="K29:M29"/>
    <mergeCell ref="O31:P31"/>
    <mergeCell ref="T6:V6"/>
    <mergeCell ref="B30:F30"/>
    <mergeCell ref="H30:I30"/>
    <mergeCell ref="K30:M30"/>
    <mergeCell ref="O30:P30"/>
    <mergeCell ref="F4:F6"/>
    <mergeCell ref="G4:G5"/>
    <mergeCell ref="B2:B6"/>
    <mergeCell ref="C2:E3"/>
    <mergeCell ref="F2:G3"/>
    <mergeCell ref="H2:X2"/>
    <mergeCell ref="H3:Q3"/>
    <mergeCell ref="B26:F26"/>
    <mergeCell ref="D4:D6"/>
    <mergeCell ref="B31:F31"/>
  </mergeCells>
  <phoneticPr fontId="17"/>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5" tint="0.59999389629810485"/>
  </sheetPr>
  <dimension ref="A1:AD46"/>
  <sheetViews>
    <sheetView zoomScale="85" zoomScaleNormal="85" workbookViewId="0">
      <selection activeCell="B19" sqref="B19:C19"/>
    </sheetView>
  </sheetViews>
  <sheetFormatPr defaultColWidth="9" defaultRowHeight="18"/>
  <cols>
    <col min="1" max="2" width="9" style="5"/>
    <col min="3" max="3" width="16.296875" style="5" customWidth="1"/>
    <col min="4" max="4" width="22.59765625" style="5" customWidth="1"/>
    <col min="5" max="5" width="37.69921875" style="5" customWidth="1"/>
    <col min="6" max="6" width="30.5" style="5" customWidth="1"/>
    <col min="7" max="7" width="17.69921875" style="5" customWidth="1"/>
    <col min="8" max="9" width="14.8984375" style="5" customWidth="1"/>
    <col min="10" max="10" width="23.59765625" style="5" customWidth="1"/>
    <col min="11" max="11" width="9" style="5"/>
    <col min="12" max="12" width="22.8984375" style="5" hidden="1" customWidth="1"/>
    <col min="13" max="13" width="61.8984375" style="5" hidden="1" customWidth="1"/>
    <col min="14" max="14" width="29.69921875" style="5" hidden="1" customWidth="1"/>
    <col min="15" max="15" width="14.69921875" style="5" hidden="1" customWidth="1"/>
    <col min="16" max="16" width="17.09765625" style="5" hidden="1" customWidth="1"/>
    <col min="17" max="17" width="36.8984375" style="5" hidden="1" customWidth="1"/>
    <col min="18" max="18" width="14.69921875" style="5" hidden="1" customWidth="1"/>
    <col min="19" max="19" width="13.69921875" style="5" hidden="1" customWidth="1"/>
    <col min="20" max="20" width="30.19921875" style="5" hidden="1" customWidth="1"/>
    <col min="21" max="21" width="14.69921875" style="5" hidden="1" customWidth="1"/>
    <col min="22" max="22" width="11.3984375" style="5" hidden="1" customWidth="1"/>
    <col min="23" max="24" width="0" style="5" hidden="1" customWidth="1"/>
    <col min="25" max="25" width="3.09765625" style="5" hidden="1" customWidth="1"/>
    <col min="26" max="26" width="0" style="5" hidden="1" customWidth="1"/>
    <col min="27" max="27" width="10.59765625" style="5" hidden="1" customWidth="1"/>
    <col min="28" max="30" width="9.5" style="5" hidden="1" customWidth="1"/>
    <col min="31" max="16384" width="9" style="5"/>
  </cols>
  <sheetData>
    <row r="1" spans="1:30" s="6" customFormat="1" ht="15" customHeight="1">
      <c r="C1" s="448"/>
      <c r="D1" s="448"/>
      <c r="E1" s="448"/>
      <c r="F1" s="448"/>
      <c r="G1" s="448"/>
      <c r="H1" s="448"/>
      <c r="I1" s="448"/>
    </row>
    <row r="2" spans="1:30" s="6" customFormat="1" ht="15" customHeight="1">
      <c r="C2" s="126"/>
      <c r="D2" s="126"/>
      <c r="E2" s="126"/>
      <c r="F2" s="126"/>
      <c r="G2" s="126"/>
      <c r="H2" s="126"/>
      <c r="I2" s="126"/>
    </row>
    <row r="3" spans="1:30" s="6" customFormat="1" ht="25.8" customHeight="1">
      <c r="A3" s="421" t="s">
        <v>496</v>
      </c>
      <c r="B3" s="418" t="s">
        <v>58</v>
      </c>
      <c r="C3" s="419"/>
      <c r="D3" s="419"/>
      <c r="E3" s="419"/>
      <c r="F3" s="420"/>
      <c r="G3" s="415" t="s">
        <v>379</v>
      </c>
      <c r="H3" s="416"/>
      <c r="I3" s="417"/>
      <c r="Q3" s="6" t="s">
        <v>276</v>
      </c>
      <c r="T3" s="6" t="s">
        <v>321</v>
      </c>
    </row>
    <row r="4" spans="1:30" s="6" customFormat="1" ht="27" customHeight="1">
      <c r="A4" s="421"/>
      <c r="B4" s="422" t="s">
        <v>51</v>
      </c>
      <c r="C4" s="422"/>
      <c r="D4" s="296" t="s">
        <v>57</v>
      </c>
      <c r="E4" s="296" t="s">
        <v>56</v>
      </c>
      <c r="F4" s="296" t="s">
        <v>55</v>
      </c>
      <c r="G4" s="296" t="s">
        <v>54</v>
      </c>
      <c r="H4" s="296" t="s">
        <v>53</v>
      </c>
      <c r="I4" s="296" t="s">
        <v>52</v>
      </c>
      <c r="L4" s="439" t="s">
        <v>327</v>
      </c>
      <c r="M4" s="6" t="s">
        <v>322</v>
      </c>
      <c r="N4" s="6" t="e">
        <f>#REF!</f>
        <v>#REF!</v>
      </c>
      <c r="O4" s="6" t="e">
        <f>#REF!</f>
        <v>#REF!</v>
      </c>
      <c r="P4" s="6" t="e">
        <f>O4*(1-E5)*D5*F5*(44/12)*(H5+I5)*G5</f>
        <v>#REF!</v>
      </c>
      <c r="Q4" s="6" t="e">
        <f>#REF!</f>
        <v>#REF!</v>
      </c>
      <c r="R4" s="6" t="e">
        <f>#REF!</f>
        <v>#REF!</v>
      </c>
      <c r="S4" s="6" t="e">
        <f>R4*(1-E5)*D5*F5*(44/12)*(H5+I5)*G5</f>
        <v>#REF!</v>
      </c>
      <c r="T4" s="143" t="e">
        <f>#REF!</f>
        <v>#REF!</v>
      </c>
      <c r="U4" s="143" t="e">
        <f>#REF!</f>
        <v>#REF!</v>
      </c>
      <c r="V4" s="143" t="e">
        <f>U4*(1-E5)*D5*F5*(44/12)*(H5+I5)*G5</f>
        <v>#REF!</v>
      </c>
      <c r="Z4" s="6" t="s">
        <v>331</v>
      </c>
      <c r="AA4" s="153" t="e">
        <f>T4+T6+#REF!</f>
        <v>#REF!</v>
      </c>
      <c r="AD4" s="143" t="e">
        <f>T5</f>
        <v>#REF!</v>
      </c>
    </row>
    <row r="5" spans="1:30" s="6" customFormat="1" ht="30" customHeight="1">
      <c r="A5" s="424" t="s">
        <v>407</v>
      </c>
      <c r="B5" s="426" t="s">
        <v>488</v>
      </c>
      <c r="C5" s="426"/>
      <c r="D5" s="302">
        <f>PB比・含水比・炭素含有比!D15</f>
        <v>1.3666666666666665</v>
      </c>
      <c r="E5" s="302">
        <f>PB比・含水比・炭素含有比!$I$33</f>
        <v>0.8171739130434782</v>
      </c>
      <c r="F5" s="302">
        <f>PB比・含水比・炭素含有比!$N$15</f>
        <v>0.33653</v>
      </c>
      <c r="G5" s="295">
        <v>1.5</v>
      </c>
      <c r="H5" s="295">
        <v>4.9299999999999997E-2</v>
      </c>
      <c r="I5" s="295">
        <v>4.99E-2</v>
      </c>
      <c r="L5" s="439"/>
      <c r="M5" s="6" t="s">
        <v>323</v>
      </c>
      <c r="N5" s="6" t="e">
        <f>#REF!</f>
        <v>#REF!</v>
      </c>
      <c r="O5" s="6" t="e">
        <f>#REF!</f>
        <v>#REF!</v>
      </c>
      <c r="P5" s="6" t="e">
        <f>O5*(1-E16)*D16*F16*(44/12)*(H16+I16)*G16</f>
        <v>#REF!</v>
      </c>
      <c r="Q5" s="6" t="e">
        <f>#REF!</f>
        <v>#REF!</v>
      </c>
      <c r="R5" s="6" t="e">
        <f>#REF!</f>
        <v>#REF!</v>
      </c>
      <c r="S5" s="6" t="e">
        <f>R5*(1-E16)*D16*F16*(44/12)*(H16+I16)*G16</f>
        <v>#REF!</v>
      </c>
      <c r="T5" s="143" t="e">
        <f>#REF!</f>
        <v>#REF!</v>
      </c>
      <c r="U5" s="143" t="e">
        <f>#REF!</f>
        <v>#REF!</v>
      </c>
      <c r="V5" s="143" t="e">
        <f>U5*(1-E16)*D16*F16*(44/12)*(H16+I16)*G16</f>
        <v>#REF!</v>
      </c>
      <c r="Z5" s="6" t="s">
        <v>332</v>
      </c>
      <c r="AA5" s="154" t="e">
        <f>#REF!+T11+#REF!+(#REF!/2)</f>
        <v>#REF!</v>
      </c>
      <c r="AB5" s="6" t="e">
        <f>#REF!/2</f>
        <v>#REF!</v>
      </c>
      <c r="AC5" s="6" t="e">
        <f>#REF!+#REF!/2</f>
        <v>#REF!</v>
      </c>
      <c r="AD5" s="143" t="e">
        <f>T12</f>
        <v>#REF!</v>
      </c>
    </row>
    <row r="6" spans="1:30" s="6" customFormat="1" ht="32.4" customHeight="1">
      <c r="A6" s="424"/>
      <c r="B6" s="425" t="s">
        <v>271</v>
      </c>
      <c r="C6" s="425"/>
      <c r="D6" s="211" t="s">
        <v>487</v>
      </c>
      <c r="E6" s="211" t="s">
        <v>487</v>
      </c>
      <c r="F6" s="211" t="s">
        <v>487</v>
      </c>
      <c r="G6" s="217" t="s">
        <v>270</v>
      </c>
      <c r="H6" s="217" t="s">
        <v>270</v>
      </c>
      <c r="I6" s="217" t="s">
        <v>270</v>
      </c>
      <c r="L6" s="439"/>
      <c r="M6" s="6" t="s">
        <v>324</v>
      </c>
      <c r="N6" s="6" t="e">
        <f>#REF!</f>
        <v>#REF!</v>
      </c>
      <c r="O6" s="6" t="e">
        <f>#REF!</f>
        <v>#REF!</v>
      </c>
      <c r="P6" s="6" t="e">
        <f>O6*(1-#REF!)*#REF!*#REF!*(44/12)*(#REF!+#REF!)*#REF!</f>
        <v>#REF!</v>
      </c>
      <c r="Q6" s="6" t="e">
        <f>#REF!</f>
        <v>#REF!</v>
      </c>
      <c r="R6" s="6" t="e">
        <f>#REF!</f>
        <v>#REF!</v>
      </c>
      <c r="S6" s="6" t="e">
        <f>R6*(1-#REF!)*#REF!*#REF!*(44/12)*(#REF!+#REF!)*#REF!</f>
        <v>#REF!</v>
      </c>
      <c r="T6" s="143" t="e">
        <f>#REF!</f>
        <v>#REF!</v>
      </c>
      <c r="U6" s="143" t="e">
        <f>#REF!</f>
        <v>#REF!</v>
      </c>
      <c r="V6" s="143" t="e">
        <f>U6*(1-#REF!)*#REF!*#REF!*(44/12)*(#REF!+#REF!)*#REF!</f>
        <v>#REF!</v>
      </c>
      <c r="W6" s="6" t="e">
        <f>SUM(T6:T6)</f>
        <v>#REF!</v>
      </c>
      <c r="X6" s="6" t="e">
        <f>SUM(V6:V6)</f>
        <v>#REF!</v>
      </c>
      <c r="Z6" s="6" t="s">
        <v>333</v>
      </c>
      <c r="AA6" s="154" t="e">
        <f>#REF!/2+#REF!+#REF!</f>
        <v>#REF!</v>
      </c>
      <c r="AB6" s="143" t="e">
        <f>#REF!</f>
        <v>#REF!</v>
      </c>
      <c r="AD6" s="6" t="e">
        <f>#REF!+#REF!/2</f>
        <v>#REF!</v>
      </c>
    </row>
    <row r="7" spans="1:30" s="6" customFormat="1" ht="30.6" customHeight="1">
      <c r="A7" s="424" t="s">
        <v>493</v>
      </c>
      <c r="B7" s="426" t="s">
        <v>489</v>
      </c>
      <c r="C7" s="426"/>
      <c r="D7" s="294">
        <v>1.43</v>
      </c>
      <c r="E7" s="302">
        <f>PB比・含水比・炭素含有比!$I$33</f>
        <v>0.8171739130434782</v>
      </c>
      <c r="F7" s="302">
        <f>PB比・含水比・炭素含有比!$N$15</f>
        <v>0.33653</v>
      </c>
      <c r="G7" s="295">
        <v>1.5</v>
      </c>
      <c r="H7" s="295">
        <v>4.9299999999999997E-2</v>
      </c>
      <c r="I7" s="295">
        <v>4.99E-2</v>
      </c>
      <c r="L7" s="278"/>
      <c r="T7" s="143"/>
      <c r="U7" s="143"/>
      <c r="V7" s="143"/>
      <c r="AA7" s="154"/>
      <c r="AB7" s="143"/>
    </row>
    <row r="8" spans="1:30" s="6" customFormat="1" ht="50.4" customHeight="1">
      <c r="A8" s="424"/>
      <c r="B8" s="425" t="s">
        <v>271</v>
      </c>
      <c r="C8" s="425"/>
      <c r="D8" s="211" t="s">
        <v>490</v>
      </c>
      <c r="E8" s="211" t="s">
        <v>487</v>
      </c>
      <c r="F8" s="211" t="s">
        <v>487</v>
      </c>
      <c r="G8" s="217" t="s">
        <v>270</v>
      </c>
      <c r="H8" s="217" t="s">
        <v>270</v>
      </c>
      <c r="I8" s="217" t="s">
        <v>270</v>
      </c>
      <c r="L8" s="278"/>
      <c r="T8" s="143"/>
      <c r="U8" s="143"/>
      <c r="V8" s="143"/>
      <c r="AA8" s="154"/>
      <c r="AB8" s="143"/>
    </row>
    <row r="9" spans="1:30" s="6" customFormat="1" ht="30.6" customHeight="1">
      <c r="A9" s="424" t="s">
        <v>411</v>
      </c>
      <c r="B9" s="426" t="s">
        <v>491</v>
      </c>
      <c r="C9" s="426"/>
      <c r="D9" s="294">
        <v>1.5</v>
      </c>
      <c r="E9" s="302">
        <f>PB比・含水比・炭素含有比!$I$33</f>
        <v>0.8171739130434782</v>
      </c>
      <c r="F9" s="302">
        <f>PB比・含水比・炭素含有比!$N$15</f>
        <v>0.33653</v>
      </c>
      <c r="G9" s="295">
        <v>1.5</v>
      </c>
      <c r="H9" s="295">
        <v>4.9299999999999997E-2</v>
      </c>
      <c r="I9" s="295">
        <v>4.99E-2</v>
      </c>
      <c r="L9" s="278"/>
      <c r="T9" s="143"/>
      <c r="U9" s="143"/>
      <c r="V9" s="143"/>
      <c r="AA9" s="154"/>
      <c r="AB9" s="143"/>
    </row>
    <row r="10" spans="1:30" s="6" customFormat="1" ht="50.4" customHeight="1">
      <c r="A10" s="424"/>
      <c r="B10" s="425" t="s">
        <v>271</v>
      </c>
      <c r="C10" s="425"/>
      <c r="D10" s="211" t="s">
        <v>492</v>
      </c>
      <c r="E10" s="211" t="s">
        <v>487</v>
      </c>
      <c r="F10" s="211" t="s">
        <v>487</v>
      </c>
      <c r="G10" s="217" t="s">
        <v>270</v>
      </c>
      <c r="H10" s="217" t="s">
        <v>270</v>
      </c>
      <c r="I10" s="217" t="s">
        <v>270</v>
      </c>
      <c r="L10" s="278"/>
      <c r="T10" s="143"/>
      <c r="U10" s="143"/>
      <c r="V10" s="143"/>
      <c r="AA10" s="154"/>
      <c r="AB10" s="143"/>
    </row>
    <row r="11" spans="1:30" s="6" customFormat="1" ht="31.8" customHeight="1">
      <c r="A11" s="423" t="s">
        <v>495</v>
      </c>
      <c r="B11" s="426" t="s">
        <v>494</v>
      </c>
      <c r="C11" s="450"/>
      <c r="D11" s="295">
        <v>1.8</v>
      </c>
      <c r="E11" s="295">
        <v>0.88</v>
      </c>
      <c r="F11" s="295">
        <v>0.32500000000000001</v>
      </c>
      <c r="G11" s="295">
        <v>1.5</v>
      </c>
      <c r="H11" s="295">
        <v>4.9299999999999997E-2</v>
      </c>
      <c r="I11" s="295">
        <v>5.28E-2</v>
      </c>
      <c r="L11" s="439"/>
      <c r="M11" s="6" t="s">
        <v>325</v>
      </c>
      <c r="N11" s="6" t="e">
        <f>#REF!</f>
        <v>#REF!</v>
      </c>
      <c r="O11" s="6" t="e">
        <f>#REF!</f>
        <v>#REF!</v>
      </c>
      <c r="P11" s="6" t="e">
        <f>O11*(1-#REF!)*#REF!*#REF!*(44/12)*(#REF!+#REF!)*#REF!</f>
        <v>#REF!</v>
      </c>
      <c r="Q11" s="6" t="e">
        <f>#REF!</f>
        <v>#REF!</v>
      </c>
      <c r="R11" s="6" t="e">
        <f>#REF!</f>
        <v>#REF!</v>
      </c>
      <c r="S11" s="6" t="e">
        <f>R11*(1-#REF!)*#REF!*#REF!*(44/12)*(#REF!+#REF!)*#REF!</f>
        <v>#REF!</v>
      </c>
      <c r="T11" s="143" t="e">
        <f>#REF!</f>
        <v>#REF!</v>
      </c>
      <c r="U11" s="143" t="e">
        <f>#REF!</f>
        <v>#REF!</v>
      </c>
      <c r="V11" s="143" t="e">
        <f>U11*(1-#REF!)*#REF!*#REF!*(44/12)*(#REF!+#REF!)*#REF!</f>
        <v>#REF!</v>
      </c>
    </row>
    <row r="12" spans="1:30" s="6" customFormat="1" ht="54">
      <c r="A12" s="423"/>
      <c r="B12" s="425" t="s">
        <v>271</v>
      </c>
      <c r="C12" s="425"/>
      <c r="D12" s="211" t="s">
        <v>422</v>
      </c>
      <c r="E12" s="211" t="s">
        <v>269</v>
      </c>
      <c r="F12" s="211" t="s">
        <v>423</v>
      </c>
      <c r="G12" s="217" t="s">
        <v>270</v>
      </c>
      <c r="H12" s="217" t="s">
        <v>270</v>
      </c>
      <c r="I12" s="217" t="s">
        <v>270</v>
      </c>
      <c r="L12" s="439"/>
      <c r="M12" s="6" t="s">
        <v>326</v>
      </c>
      <c r="N12" s="6" t="e">
        <f>#REF!</f>
        <v>#REF!</v>
      </c>
      <c r="O12" s="6" t="e">
        <f>#REF!</f>
        <v>#REF!</v>
      </c>
      <c r="P12" s="6" t="e">
        <f>O12*(1-E16)*D16*F16*(44/12)*(H16+I16)*G16</f>
        <v>#REF!</v>
      </c>
      <c r="Q12" s="6" t="e">
        <f>#REF!</f>
        <v>#REF!</v>
      </c>
      <c r="R12" s="6" t="e">
        <f>#REF!</f>
        <v>#REF!</v>
      </c>
      <c r="S12" s="6" t="e">
        <f>R12*(1-E16)*D16*F16*(44/12)*(H16+I16)*G16</f>
        <v>#REF!</v>
      </c>
      <c r="T12" s="143" t="e">
        <f>#REF!</f>
        <v>#REF!</v>
      </c>
      <c r="U12" s="143" t="e">
        <f>#REF!</f>
        <v>#REF!</v>
      </c>
      <c r="V12" s="143" t="e">
        <f>U12*(1-E16)*D16*F16*(44/12)*(H16+I16)*G16</f>
        <v>#REF!</v>
      </c>
    </row>
    <row r="13" spans="1:30" s="6" customFormat="1">
      <c r="A13" s="297"/>
      <c r="B13" s="299"/>
      <c r="C13" s="299"/>
      <c r="D13" s="300"/>
      <c r="E13" s="300"/>
      <c r="F13" s="300"/>
      <c r="G13" s="301"/>
      <c r="H13" s="301"/>
      <c r="I13" s="301"/>
      <c r="J13" s="127"/>
      <c r="L13" s="278"/>
      <c r="T13" s="143"/>
      <c r="U13" s="143"/>
      <c r="V13" s="143"/>
    </row>
    <row r="14" spans="1:30" s="6" customFormat="1" ht="19.5" customHeight="1">
      <c r="A14" s="421" t="s">
        <v>496</v>
      </c>
      <c r="B14" s="418" t="s">
        <v>58</v>
      </c>
      <c r="C14" s="419"/>
      <c r="D14" s="419"/>
      <c r="E14" s="419"/>
      <c r="F14" s="420"/>
      <c r="G14" s="415" t="s">
        <v>379</v>
      </c>
      <c r="H14" s="416"/>
      <c r="I14" s="417"/>
      <c r="M14" s="131" t="s">
        <v>248</v>
      </c>
      <c r="N14" s="129" t="e">
        <f>#REF!</f>
        <v>#REF!</v>
      </c>
      <c r="O14" s="129" t="e">
        <f>#REF!</f>
        <v>#REF!</v>
      </c>
      <c r="P14" s="129" t="e">
        <f>O14*(1-#REF!)*#REF!*#REF!*(44/12)*(#REF!+#REF!)*#REF!</f>
        <v>#REF!</v>
      </c>
      <c r="Q14" s="129" t="e">
        <f>#REF!</f>
        <v>#REF!</v>
      </c>
      <c r="R14" s="129" t="e">
        <f>#REF!</f>
        <v>#REF!</v>
      </c>
      <c r="S14" s="129" t="e">
        <f>R14*(1-#REF!)*#REF!*#REF!*(44/12)*(#REF!+#REF!)*#REF!</f>
        <v>#REF!</v>
      </c>
      <c r="T14" s="145" t="e">
        <f>#REF!</f>
        <v>#REF!</v>
      </c>
      <c r="U14" s="145" t="e">
        <f>#REF!</f>
        <v>#REF!</v>
      </c>
      <c r="V14" s="145" t="e">
        <f>U14*(1-#REF!)*#REF!*#REF!*(44/12)*(#REF!+#REF!)*#REF!</f>
        <v>#REF!</v>
      </c>
    </row>
    <row r="15" spans="1:30" s="6" customFormat="1" ht="24">
      <c r="A15" s="421"/>
      <c r="B15" s="422" t="s">
        <v>51</v>
      </c>
      <c r="C15" s="422"/>
      <c r="D15" s="296" t="s">
        <v>57</v>
      </c>
      <c r="E15" s="296" t="s">
        <v>56</v>
      </c>
      <c r="F15" s="296" t="s">
        <v>55</v>
      </c>
      <c r="G15" s="296" t="s">
        <v>54</v>
      </c>
      <c r="H15" s="296" t="s">
        <v>53</v>
      </c>
      <c r="I15" s="296" t="s">
        <v>52</v>
      </c>
      <c r="M15" s="132" t="s">
        <v>320</v>
      </c>
      <c r="N15" s="129" t="e">
        <f>#REF!</f>
        <v>#REF!</v>
      </c>
      <c r="O15" s="129" t="e">
        <f>#REF!</f>
        <v>#REF!</v>
      </c>
      <c r="P15" s="129" t="e">
        <f>O15*(((1-#REF!)*#REF!*#REF!*(44/12)*(#REF!+#REF!)*#REF!)*2+((1-E18)*D18*F18*(44/12)*(H18+I18)*G18)*3+((1-E16)*D16*F16*(44/12)*(H16+I16)*G16)*3)/8</f>
        <v>#REF!</v>
      </c>
      <c r="Q15" s="129" t="e">
        <f>#REF!</f>
        <v>#REF!</v>
      </c>
      <c r="R15" s="129" t="e">
        <f>#REF!</f>
        <v>#REF!</v>
      </c>
      <c r="S15" s="129" t="e">
        <f>R15*(((1-#REF!)*#REF!*#REF!*(44/12)*(#REF!+#REF!)*#REF!)*2+((1-E18)*D18*F18*(44/12)*(H18+I18)*G18)*3+((1-E16)*D16*F16*(44/12)*(H16+I16)*G16)*3)/8</f>
        <v>#REF!</v>
      </c>
      <c r="T15" s="145" t="e">
        <f>#REF!</f>
        <v>#REF!</v>
      </c>
      <c r="U15" s="145" t="e">
        <f>#REF!</f>
        <v>#REF!</v>
      </c>
      <c r="V15" s="145" t="e">
        <f>U15*(((1-#REF!)*#REF!*#REF!*(44/12)*(#REF!+#REF!)*#REF!)*2+((1-E18)*D18*F18*(44/12)*(H18+I18)*G18)*3+((1-E16)*D16*F16*(44/12)*(H16+I16)*G16)*3)/8</f>
        <v>#REF!</v>
      </c>
    </row>
    <row r="16" spans="1:30" s="6" customFormat="1" ht="24">
      <c r="A16" s="411" t="s">
        <v>497</v>
      </c>
      <c r="B16" s="451" t="s">
        <v>267</v>
      </c>
      <c r="C16" s="451"/>
      <c r="D16" s="298">
        <v>1.1000000000000001</v>
      </c>
      <c r="E16" s="298">
        <v>0.88200000000000001</v>
      </c>
      <c r="F16" s="298">
        <v>0.39400000000000002</v>
      </c>
      <c r="G16" s="279">
        <v>1.5</v>
      </c>
      <c r="H16" s="279">
        <v>4.9299999999999997E-2</v>
      </c>
      <c r="I16" s="279">
        <v>4.8399999999999999E-2</v>
      </c>
      <c r="M16" s="133" t="s">
        <v>320</v>
      </c>
      <c r="N16" s="129" t="e">
        <f>#REF!</f>
        <v>#REF!</v>
      </c>
      <c r="O16" s="129" t="e">
        <f>#REF!</f>
        <v>#REF!</v>
      </c>
      <c r="P16" s="129" t="e">
        <f>O16*(((1-#REF!)*#REF!*#REF!*(44/12)*(#REF!+#REF!)*#REF!)*2+((1-E18)*D18*F18*(44/12)*(H18+I18)*G18)*3+((1-E16)*D16*F16*(44/12)*(H16+I16)*G16)*2)/7</f>
        <v>#REF!</v>
      </c>
      <c r="Q16" s="129" t="e">
        <f>#REF!</f>
        <v>#REF!</v>
      </c>
      <c r="R16" s="129" t="e">
        <f>#REF!</f>
        <v>#REF!</v>
      </c>
      <c r="S16" s="129" t="e">
        <f>R16*(((1-#REF!)*#REF!*#REF!*(44/12)*(#REF!+#REF!)*#REF!)*2+((1-E18)*D18*F18*(44/12)*(H18+I18)*G18)*3+((1-E16)*D16*F16*(44/12)*(H16+I16)*G16)*2)/7</f>
        <v>#REF!</v>
      </c>
      <c r="T16" s="145" t="e">
        <f>#REF!</f>
        <v>#REF!</v>
      </c>
      <c r="U16" s="145" t="e">
        <f>#REF!</f>
        <v>#REF!</v>
      </c>
      <c r="V16" s="145" t="e">
        <f>U16*(((1-#REF!)*#REF!*#REF!*(44/12)*(#REF!+#REF!)*#REF!)*2+((1-E18)*D18*F18*(44/12)*(H18+I18)*G18)*3+((1-E16)*D16*F16*(44/12)*(H16+I16)*G16)*2)/7</f>
        <v>#REF!</v>
      </c>
    </row>
    <row r="17" spans="1:22" s="6" customFormat="1" ht="93.6" customHeight="1">
      <c r="A17" s="412"/>
      <c r="B17" s="425" t="s">
        <v>271</v>
      </c>
      <c r="C17" s="425"/>
      <c r="D17" s="227" t="s">
        <v>377</v>
      </c>
      <c r="E17" s="211" t="s">
        <v>280</v>
      </c>
      <c r="F17" s="227" t="s">
        <v>377</v>
      </c>
      <c r="G17" s="217" t="s">
        <v>270</v>
      </c>
      <c r="H17" s="217" t="s">
        <v>270</v>
      </c>
      <c r="I17" s="217" t="s">
        <v>270</v>
      </c>
      <c r="M17" s="127" t="s">
        <v>265</v>
      </c>
      <c r="N17" s="6" t="e">
        <f>SUM(N11:N16)</f>
        <v>#REF!</v>
      </c>
      <c r="P17" s="5" t="e">
        <f>SUM(P11:P14)</f>
        <v>#REF!</v>
      </c>
      <c r="Q17" s="6" t="e">
        <f>SUM(Q11:Q16)</f>
        <v>#REF!</v>
      </c>
      <c r="S17" s="5" t="e">
        <f>SUM(S11:S14)</f>
        <v>#REF!</v>
      </c>
      <c r="T17" s="143" t="e">
        <f>SUM(T11:T12)</f>
        <v>#REF!</v>
      </c>
      <c r="U17" s="143"/>
      <c r="V17" s="143" t="e">
        <f>SUM(V11:V12)</f>
        <v>#REF!</v>
      </c>
    </row>
    <row r="18" spans="1:22">
      <c r="A18" s="412"/>
      <c r="B18" s="452" t="s">
        <v>268</v>
      </c>
      <c r="C18" s="452"/>
      <c r="D18" s="210">
        <v>1.1000000000000001</v>
      </c>
      <c r="E18" s="210">
        <v>0.81699999999999995</v>
      </c>
      <c r="F18" s="210">
        <v>0.33</v>
      </c>
      <c r="G18" s="218">
        <v>1.5</v>
      </c>
      <c r="H18" s="226">
        <v>4.9299999999999997E-2</v>
      </c>
      <c r="I18" s="226">
        <v>2.7900000000000001E-2</v>
      </c>
      <c r="M18" s="130" t="s">
        <v>250</v>
      </c>
      <c r="N18" s="129" t="e">
        <f>#REF!=#REF!</f>
        <v>#REF!</v>
      </c>
      <c r="O18" s="129" t="e">
        <f>#REF!</f>
        <v>#REF!</v>
      </c>
      <c r="P18" s="129" t="e">
        <f>((O18*(1-E11)*D11*F11*(44/12)*(H11+I11)*G11)+(O18*(1-E18)*D18*F18*(44/12)*(H18+I18)*G18)+(O18*(1-E16)*D16*F16*(44/12)*(H16+I16)*G16)*3)/5</f>
        <v>#REF!</v>
      </c>
      <c r="Q18" s="129" t="e">
        <f>#REF!</f>
        <v>#REF!</v>
      </c>
      <c r="R18" s="129" t="e">
        <f>#REF!</f>
        <v>#REF!</v>
      </c>
      <c r="S18" s="129" t="e">
        <f>((R18*(1-E11)*D11*F11*(44/12)*(H11+I11)*G11)+(R18*(1-E18)*D18*F18*(44/12)*(H18+I18)*G18)+(R18*(1-E16)*D16*F16*(44/12)*(H16+I16)*G16)*3)/5</f>
        <v>#REF!</v>
      </c>
      <c r="T18" s="145"/>
      <c r="U18" s="145"/>
      <c r="V18" s="145"/>
    </row>
    <row r="19" spans="1:22" ht="94.8" customHeight="1">
      <c r="A19" s="412"/>
      <c r="B19" s="425" t="s">
        <v>271</v>
      </c>
      <c r="C19" s="425"/>
      <c r="D19" s="211" t="s">
        <v>272</v>
      </c>
      <c r="E19" s="219" t="s">
        <v>378</v>
      </c>
      <c r="F19" s="219" t="s">
        <v>380</v>
      </c>
      <c r="G19" s="217" t="s">
        <v>270</v>
      </c>
      <c r="H19" s="217" t="s">
        <v>270</v>
      </c>
      <c r="I19" s="217" t="s">
        <v>270</v>
      </c>
      <c r="M19" s="130" t="s">
        <v>252</v>
      </c>
      <c r="N19" s="129" t="e">
        <f>#REF!</f>
        <v>#REF!</v>
      </c>
      <c r="O19" s="129" t="e">
        <f>#REF!</f>
        <v>#REF!</v>
      </c>
      <c r="P19" s="129" t="e">
        <f>((O19*(1-E16)*D16*F16*(44/12)*(H16+I16)*G16)+(O19*(1-E11)*D11*F11*(44/12)*(H11+I11)*G11)*(O19*(1-#REF!)*#REF!*#REF!*(44/12)*(#REF!+#REF!)*#REF!)+(O19*(1-#REF!)*#REF!*#REF!*(44/12)*(#REF!+#REF!)*#REF!)*2)/6</f>
        <v>#REF!</v>
      </c>
      <c r="Q19" s="129" t="e">
        <f>#REF!</f>
        <v>#REF!</v>
      </c>
      <c r="R19" s="129" t="e">
        <f>#REF!</f>
        <v>#REF!</v>
      </c>
      <c r="S19" s="129" t="e">
        <f>((R19*(1-E16)*D16*F16*(44/12)*(H16+I16)*G16)+(R19*(1-E11)*D11*F11*(44/12)*(H11+I11)*G11)*(R19*(1-#REF!)*#REF!*#REF!*(44/12)*(#REF!+#REF!)*#REF!)+(R19*(1-#REF!)*#REF!*#REF!*(44/12)*(#REF!+#REF!)*#REF!)*2)/6</f>
        <v>#REF!</v>
      </c>
      <c r="T19" s="145"/>
      <c r="U19" s="145"/>
      <c r="V19" s="145"/>
    </row>
    <row r="20" spans="1:22" ht="18" customHeight="1">
      <c r="M20" s="130" t="s">
        <v>251</v>
      </c>
      <c r="N20" s="129" t="e">
        <f>#REF!</f>
        <v>#REF!</v>
      </c>
      <c r="O20" s="129" t="e">
        <f>#REF!</f>
        <v>#REF!</v>
      </c>
      <c r="P20" s="129" t="e">
        <f>((O20*(1-#REF!)*#REF!*#REF!*(44/12)*(#REF!+#REF!)*#REF!)+(O20*(1-E11)*D11*F11*(44/12)*(H11+I11)*G11)+(O20*(1-E16)*D16*F16*(44/12)*(H16+I16)*G16)*3)/5</f>
        <v>#REF!</v>
      </c>
      <c r="Q20" s="129" t="e">
        <f>#REF!</f>
        <v>#REF!</v>
      </c>
      <c r="R20" s="129" t="e">
        <f>#REF!</f>
        <v>#REF!</v>
      </c>
      <c r="S20" s="129" t="e">
        <f>((R20*(1-#REF!)*#REF!*#REF!*(44/12)*(#REF!+#REF!)*#REF!)+(R20*(1-E11)*D11*F11*(44/12)*(H11+I11)*G11)+(R20*(1-E16)*D16*F16*(44/12)*(H16+I16)*G16)*3)/5</f>
        <v>#REF!</v>
      </c>
      <c r="T20" s="145"/>
      <c r="U20" s="145"/>
      <c r="V20" s="145"/>
    </row>
    <row r="21" spans="1:22" ht="72">
      <c r="A21" s="413" t="s">
        <v>381</v>
      </c>
      <c r="B21" s="413"/>
      <c r="C21" s="413"/>
      <c r="D21" s="254" t="s">
        <v>395</v>
      </c>
      <c r="E21" s="254" t="s">
        <v>396</v>
      </c>
      <c r="F21" s="254" t="s">
        <v>397</v>
      </c>
      <c r="G21" s="254" t="s">
        <v>398</v>
      </c>
      <c r="H21" s="254" t="s">
        <v>399</v>
      </c>
      <c r="I21" s="254" t="s">
        <v>400</v>
      </c>
      <c r="M21" s="5" t="s">
        <v>265</v>
      </c>
      <c r="N21" s="5" t="e">
        <f>SUM(N18:N20)</f>
        <v>#REF!</v>
      </c>
      <c r="P21" s="5" t="e">
        <f>SUM(P18:P20)</f>
        <v>#REF!</v>
      </c>
      <c r="Q21" s="5" t="e">
        <f>SUM(Q18:Q20)</f>
        <v>#REF!</v>
      </c>
      <c r="S21" s="5" t="e">
        <f>SUM(S18:S20)</f>
        <v>#REF!</v>
      </c>
      <c r="T21" s="144">
        <f>SUM(T18:T20)</f>
        <v>0</v>
      </c>
      <c r="U21" s="144"/>
      <c r="V21" s="144">
        <f>SUM(V18:V20)</f>
        <v>0</v>
      </c>
    </row>
    <row r="22" spans="1:22" ht="18" customHeight="1">
      <c r="A22" s="414" t="s">
        <v>387</v>
      </c>
      <c r="B22" s="414"/>
      <c r="C22" s="414"/>
      <c r="D22" s="449">
        <f>被度・面積!J222</f>
        <v>3.9750000000000002E-3</v>
      </c>
      <c r="E22" s="247">
        <f>湿重量_水深別_修正!R31</f>
        <v>2.3200000000000003</v>
      </c>
      <c r="F22" s="248">
        <f>D22/2*E22</f>
        <v>4.6110000000000005E-3</v>
      </c>
      <c r="G22" s="249">
        <f>F22*(1-E18)*D18*F18*(44/12)*(H18+I18)*G18</f>
        <v>1.3005672892740005E-4</v>
      </c>
      <c r="H22" s="440">
        <f>SUM(G22:G23)</f>
        <v>3.7037565873330005E-4</v>
      </c>
      <c r="I22" s="440">
        <f>H22/D22</f>
        <v>9.3176266348000011E-2</v>
      </c>
      <c r="M22" s="5" t="s">
        <v>266</v>
      </c>
      <c r="N22" s="5">
        <v>0.26884840331249998</v>
      </c>
      <c r="O22" s="5">
        <v>0</v>
      </c>
      <c r="P22" s="6" t="e">
        <f>O22*(1-#REF!)*#REF!*#REF!*(44/12)*(#REF!+#REF!)*#REF!</f>
        <v>#REF!</v>
      </c>
      <c r="Q22" s="5">
        <v>0.21399712500000034</v>
      </c>
      <c r="R22" s="5">
        <v>0</v>
      </c>
      <c r="S22" s="6"/>
    </row>
    <row r="23" spans="1:22">
      <c r="A23" s="414"/>
      <c r="B23" s="414"/>
      <c r="C23" s="414"/>
      <c r="D23" s="449"/>
      <c r="E23" s="247">
        <f>湿重量_水深別_修正!S31</f>
        <v>4.4000000000000004</v>
      </c>
      <c r="F23" s="255">
        <f>D22/2*E23</f>
        <v>8.745000000000001E-3</v>
      </c>
      <c r="G23" s="249">
        <f>F23*(1-E16)*D16*F16*(44/12)*(H16+I16)*G16</f>
        <v>2.4031892980590002E-4</v>
      </c>
      <c r="H23" s="441"/>
      <c r="I23" s="441"/>
      <c r="K23" s="442"/>
    </row>
    <row r="24" spans="1:22">
      <c r="D24" s="144"/>
      <c r="E24" s="144"/>
      <c r="F24" s="144"/>
      <c r="K24" s="443"/>
    </row>
    <row r="25" spans="1:22" ht="54">
      <c r="A25" s="303" t="s">
        <v>496</v>
      </c>
      <c r="B25" s="413" t="s">
        <v>404</v>
      </c>
      <c r="C25" s="413"/>
      <c r="D25" s="274" t="s">
        <v>418</v>
      </c>
      <c r="E25" s="254" t="s">
        <v>396</v>
      </c>
      <c r="F25" s="274" t="s">
        <v>415</v>
      </c>
      <c r="G25" s="254" t="s">
        <v>398</v>
      </c>
      <c r="K25" s="443"/>
      <c r="L25" s="5" t="s">
        <v>273</v>
      </c>
      <c r="M25" s="5" t="s">
        <v>50</v>
      </c>
      <c r="N25" s="104" t="s">
        <v>245</v>
      </c>
      <c r="O25" s="104" t="s">
        <v>264</v>
      </c>
      <c r="P25" s="103" t="s">
        <v>274</v>
      </c>
      <c r="S25" s="6"/>
    </row>
    <row r="26" spans="1:22">
      <c r="A26" s="265" t="s">
        <v>409</v>
      </c>
      <c r="B26" s="438" t="s">
        <v>62</v>
      </c>
      <c r="C26" s="259" t="s">
        <v>330</v>
      </c>
      <c r="D26" s="267">
        <f>SUM(被度・面積!I209:I212)</f>
        <v>4.8916750000000002</v>
      </c>
      <c r="E26" s="247">
        <f>湿重量_水深別_修正!H31</f>
        <v>44.84</v>
      </c>
      <c r="F26" s="260">
        <f>ROUNDDOWN(D26*E26,2)</f>
        <v>219.34</v>
      </c>
      <c r="G26" s="268">
        <f>ROUNDDOWN(F26*(1-E5)*D5*F5*(44/12)*(H5+I5)*G5,3)</f>
        <v>10.061999999999999</v>
      </c>
      <c r="K26" s="443"/>
      <c r="M26" s="5" t="s">
        <v>228</v>
      </c>
      <c r="N26" s="5">
        <f>被度・面積!J195</f>
        <v>0.09</v>
      </c>
      <c r="O26" s="147" t="e">
        <f>#REF!</f>
        <v>#REF!</v>
      </c>
      <c r="P26" s="148" t="e">
        <f>O26*(1-#REF!)*#REF!*#REF!*(44/12)*(#REF!+#REF!)*#REF!</f>
        <v>#REF!</v>
      </c>
      <c r="S26" s="6"/>
    </row>
    <row r="27" spans="1:22">
      <c r="A27" s="265" t="s">
        <v>410</v>
      </c>
      <c r="B27" s="438"/>
      <c r="C27" s="259" t="s">
        <v>334</v>
      </c>
      <c r="D27" s="267">
        <f>被度・面積!I213</f>
        <v>0.38355000000000011</v>
      </c>
      <c r="E27" s="247">
        <f>湿重量_水深別_修正!J31</f>
        <v>41.64</v>
      </c>
      <c r="F27" s="260">
        <f>ROUNDDOWN(D27*E27,2)</f>
        <v>15.97</v>
      </c>
      <c r="G27" s="268">
        <f>ROUNDDOWN(F27*(1-E11)*D11*F11*(44/12)*(H11+I11)*G11,3)</f>
        <v>0.629</v>
      </c>
      <c r="K27" s="443"/>
      <c r="O27" s="147"/>
      <c r="P27" s="147"/>
    </row>
    <row r="28" spans="1:22">
      <c r="A28" s="265" t="s">
        <v>411</v>
      </c>
      <c r="B28" s="438" t="s">
        <v>71</v>
      </c>
      <c r="C28" s="259" t="s">
        <v>330</v>
      </c>
      <c r="D28" s="267">
        <f>SUM(被度・面積!I214:I216)</f>
        <v>2.3362750000000001</v>
      </c>
      <c r="E28" s="247">
        <f>湿重量_水深別_修正!K31</f>
        <v>22.384</v>
      </c>
      <c r="F28" s="260">
        <f>ROUNDDOWN(D28*E28,2)</f>
        <v>52.29</v>
      </c>
      <c r="G28" s="268">
        <f>ROUNDDOWN(F28*(1-E5)*D5*F5*(44/12)*(H5+I5)*G5,3)</f>
        <v>2.3980000000000001</v>
      </c>
      <c r="K28" s="443"/>
      <c r="L28" s="5" t="s">
        <v>67</v>
      </c>
      <c r="M28" s="5" t="s">
        <v>50</v>
      </c>
      <c r="N28" s="104" t="s">
        <v>245</v>
      </c>
      <c r="O28" s="149" t="s">
        <v>264</v>
      </c>
      <c r="P28" s="150" t="s">
        <v>274</v>
      </c>
      <c r="S28" s="6"/>
    </row>
    <row r="29" spans="1:22">
      <c r="A29" s="265" t="s">
        <v>412</v>
      </c>
      <c r="B29" s="438"/>
      <c r="C29" s="259" t="s">
        <v>334</v>
      </c>
      <c r="D29" s="267">
        <f>被度・面積!I217</f>
        <v>0.24794999999999984</v>
      </c>
      <c r="E29" s="247">
        <f>湿重量_水深別_修正!N31</f>
        <v>16</v>
      </c>
      <c r="F29" s="260">
        <f>ROUNDDOWN(D29*E29,2)</f>
        <v>3.96</v>
      </c>
      <c r="G29" s="268">
        <f>ROUNDDOWN(F29*(1-E11)*D11*F11*(44/12)*(H11+I11)*G11,3)</f>
        <v>0.156</v>
      </c>
      <c r="K29" s="443"/>
      <c r="L29" s="5" t="s">
        <v>68</v>
      </c>
      <c r="M29" s="5" t="s">
        <v>50</v>
      </c>
      <c r="N29" s="104" t="s">
        <v>245</v>
      </c>
      <c r="O29" s="149" t="s">
        <v>264</v>
      </c>
      <c r="P29" s="150" t="s">
        <v>274</v>
      </c>
      <c r="S29" s="6"/>
    </row>
    <row r="30" spans="1:22">
      <c r="A30" s="265" t="s">
        <v>413</v>
      </c>
      <c r="B30" s="438" t="s">
        <v>336</v>
      </c>
      <c r="C30" s="259" t="s">
        <v>330</v>
      </c>
      <c r="D30" s="267">
        <f>SUM(被度・面積!I218:I220)</f>
        <v>0.35332500000000006</v>
      </c>
      <c r="E30" s="247">
        <f>湿重量_水深別_修正!O31</f>
        <v>6.7600000000000007</v>
      </c>
      <c r="F30" s="260">
        <f>ROUNDDOWN(D30*E30,3)</f>
        <v>2.3879999999999999</v>
      </c>
      <c r="G30" s="268">
        <f>ROUNDDOWN(F30*(1-E5)*D5*F5*(44/12)*(H5+I5)*G5,3)</f>
        <v>0.109</v>
      </c>
      <c r="K30" s="443"/>
      <c r="N30" s="104"/>
      <c r="O30" s="149"/>
      <c r="P30" s="150"/>
      <c r="S30" s="6"/>
    </row>
    <row r="31" spans="1:22">
      <c r="A31" s="265" t="s">
        <v>414</v>
      </c>
      <c r="B31" s="438"/>
      <c r="C31" s="259" t="s">
        <v>334</v>
      </c>
      <c r="D31" s="267">
        <f>被度・面積!I221</f>
        <v>0.18074999999999999</v>
      </c>
      <c r="E31" s="247">
        <f>湿重量_水深別_修正!Q31</f>
        <v>20.560000000000002</v>
      </c>
      <c r="F31" s="260">
        <f>ROUNDDOWN(D31*E31,2)</f>
        <v>3.71</v>
      </c>
      <c r="G31" s="268">
        <f>ROUNDDOWN(F31*(1-E11)*D11*F11*(44/12)*(H11+I11)*G11,3)</f>
        <v>0.14599999999999999</v>
      </c>
      <c r="K31" s="443"/>
      <c r="N31" s="104"/>
      <c r="O31" s="149"/>
      <c r="P31" s="150"/>
      <c r="S31" s="6"/>
    </row>
    <row r="32" spans="1:22">
      <c r="B32" s="261"/>
      <c r="C32" s="261"/>
      <c r="D32" s="262"/>
      <c r="E32" s="261"/>
      <c r="F32" s="263"/>
      <c r="G32" s="264"/>
      <c r="K32" s="443"/>
      <c r="M32" s="5" t="s">
        <v>228</v>
      </c>
      <c r="N32" s="5">
        <f>被度・面積!J199</f>
        <v>2.4E-2</v>
      </c>
      <c r="O32" s="147" t="e">
        <f>#REF!</f>
        <v>#REF!</v>
      </c>
      <c r="P32" s="159" t="e">
        <f>O32*(1-#REF!)*#REF!*#REF!*(44/12)*(#REF!+#REF!)*#REF!</f>
        <v>#REF!</v>
      </c>
      <c r="S32" s="6"/>
    </row>
    <row r="33" spans="1:22">
      <c r="K33" s="443"/>
      <c r="O33" s="147"/>
      <c r="P33" s="147"/>
    </row>
    <row r="34" spans="1:22" ht="72">
      <c r="A34" s="303" t="s">
        <v>496</v>
      </c>
      <c r="B34" s="413" t="s">
        <v>405</v>
      </c>
      <c r="C34" s="413"/>
      <c r="D34" s="257" t="s">
        <v>373</v>
      </c>
      <c r="E34" s="254" t="s">
        <v>416</v>
      </c>
      <c r="F34" s="254" t="s">
        <v>406</v>
      </c>
      <c r="G34" s="254" t="s">
        <v>417</v>
      </c>
      <c r="H34" s="274" t="s">
        <v>415</v>
      </c>
      <c r="I34" s="254" t="s">
        <v>398</v>
      </c>
      <c r="K34" s="443"/>
      <c r="L34" s="5" t="s">
        <v>69</v>
      </c>
      <c r="M34" s="5" t="s">
        <v>50</v>
      </c>
      <c r="N34" s="104" t="s">
        <v>245</v>
      </c>
      <c r="O34" s="149" t="s">
        <v>264</v>
      </c>
      <c r="P34" s="150" t="s">
        <v>274</v>
      </c>
      <c r="S34" s="6"/>
    </row>
    <row r="35" spans="1:22">
      <c r="A35" s="427" t="s">
        <v>407</v>
      </c>
      <c r="B35" s="259" t="s">
        <v>66</v>
      </c>
      <c r="C35" s="435" t="s">
        <v>330</v>
      </c>
      <c r="D35" s="266">
        <f>被度・面積!J195</f>
        <v>0.09</v>
      </c>
      <c r="E35" s="444">
        <f>SUM(D35:D37)</f>
        <v>0.20399999999999999</v>
      </c>
      <c r="F35" s="247">
        <f>湿重量_水深別_修正!T31</f>
        <v>19.16</v>
      </c>
      <c r="G35" s="429">
        <f>AVERAGE(F35:F37)</f>
        <v>17.173333333333332</v>
      </c>
      <c r="H35" s="432">
        <f>E35*G35</f>
        <v>3.5033599999999994</v>
      </c>
      <c r="I35" s="445">
        <f>H35*(1-E5)*D5*F5*(44/12)*(H5+I5)*G5</f>
        <v>0.16072509100321111</v>
      </c>
      <c r="K35" s="443"/>
      <c r="M35" s="5" t="s">
        <v>227</v>
      </c>
      <c r="N35" s="5">
        <f>被度・面積!J200</f>
        <v>0.14000000000000001</v>
      </c>
      <c r="O35" s="147" t="e">
        <f>#REF!</f>
        <v>#REF!</v>
      </c>
      <c r="P35" s="148" t="e">
        <f>O35*(1-E11)*D11*F11*(44/12)*(H11+I11)*G11</f>
        <v>#REF!</v>
      </c>
      <c r="S35" s="6"/>
    </row>
    <row r="36" spans="1:22">
      <c r="A36" s="428"/>
      <c r="B36" s="259" t="s">
        <v>72</v>
      </c>
      <c r="C36" s="436"/>
      <c r="D36" s="266">
        <f>被度・面積!J197</f>
        <v>0.09</v>
      </c>
      <c r="E36" s="444"/>
      <c r="F36" s="247">
        <f>湿重量_水深別_修正!U31</f>
        <v>26.200000000000003</v>
      </c>
      <c r="G36" s="430"/>
      <c r="H36" s="433"/>
      <c r="I36" s="446"/>
      <c r="K36" s="443"/>
      <c r="O36" s="147"/>
      <c r="P36" s="147"/>
    </row>
    <row r="37" spans="1:22">
      <c r="A37" s="428"/>
      <c r="B37" s="259" t="s">
        <v>370</v>
      </c>
      <c r="C37" s="437"/>
      <c r="D37" s="266">
        <f>被度・面積!J199</f>
        <v>2.4E-2</v>
      </c>
      <c r="E37" s="444"/>
      <c r="F37" s="247">
        <f>湿重量_水深別_修正!V31</f>
        <v>6.16</v>
      </c>
      <c r="G37" s="431"/>
      <c r="H37" s="434"/>
      <c r="I37" s="447"/>
      <c r="L37" s="5" t="s">
        <v>70</v>
      </c>
      <c r="M37" s="5" t="s">
        <v>50</v>
      </c>
      <c r="N37" s="104" t="s">
        <v>245</v>
      </c>
      <c r="O37" s="149" t="s">
        <v>264</v>
      </c>
      <c r="P37" s="150" t="s">
        <v>274</v>
      </c>
      <c r="S37" s="6"/>
    </row>
    <row r="38" spans="1:22">
      <c r="A38" s="427" t="s">
        <v>408</v>
      </c>
      <c r="B38" s="259" t="s">
        <v>371</v>
      </c>
      <c r="C38" s="435" t="s">
        <v>334</v>
      </c>
      <c r="D38" s="266">
        <f>被度・面積!J200</f>
        <v>0.14000000000000001</v>
      </c>
      <c r="E38" s="428">
        <f>SUM(D38:D39)</f>
        <v>0.25</v>
      </c>
      <c r="F38" s="247">
        <f>湿重量_水深別_修正!W31</f>
        <v>64.599999999999994</v>
      </c>
      <c r="G38" s="429">
        <f>AVERAGE(F38:F39)</f>
        <v>52.48</v>
      </c>
      <c r="H38" s="432">
        <f>E38*G38</f>
        <v>13.12</v>
      </c>
      <c r="I38" s="445">
        <f>H38*(1-E11)*D11*F11*(44/12)*(H11+I11)*G11</f>
        <v>0.51720102719999983</v>
      </c>
      <c r="O38" s="101" t="s">
        <v>275</v>
      </c>
      <c r="P38" s="146" t="e">
        <f>P26+#REF!+P32+P35+#REF!</f>
        <v>#REF!</v>
      </c>
    </row>
    <row r="39" spans="1:22">
      <c r="A39" s="427"/>
      <c r="B39" s="259" t="s">
        <v>372</v>
      </c>
      <c r="C39" s="437"/>
      <c r="D39" s="266">
        <f>被度・面積!J202</f>
        <v>0.11000000000000001</v>
      </c>
      <c r="E39" s="428"/>
      <c r="F39" s="247">
        <f>湿重量_水深別_修正!X31</f>
        <v>40.36</v>
      </c>
      <c r="G39" s="431"/>
      <c r="H39" s="434"/>
      <c r="I39" s="447"/>
    </row>
    <row r="40" spans="1:22">
      <c r="P40" s="102"/>
      <c r="S40" s="102" t="s">
        <v>279</v>
      </c>
      <c r="V40" s="128" t="s">
        <v>321</v>
      </c>
    </row>
    <row r="41" spans="1:22">
      <c r="E41" s="228"/>
      <c r="F41" s="209"/>
      <c r="O41" s="101" t="s">
        <v>47</v>
      </c>
      <c r="P41" s="151" t="e">
        <f>P38+V41</f>
        <v>#REF!</v>
      </c>
      <c r="S41" s="101" t="e">
        <f>P38+#REF!+S17+S21</f>
        <v>#REF!</v>
      </c>
      <c r="V41" s="146" t="e">
        <f>#REF!+V17+V21</f>
        <v>#REF!</v>
      </c>
    </row>
    <row r="42" spans="1:22">
      <c r="F42" s="209"/>
    </row>
    <row r="46" spans="1:22">
      <c r="N46" s="152" t="e">
        <f>SUM(N26,#REF!,N32)</f>
        <v>#REF!</v>
      </c>
      <c r="O46" s="144" t="e">
        <f>SUM(O26,#REF!,O32)</f>
        <v>#REF!</v>
      </c>
    </row>
  </sheetData>
  <mergeCells count="51">
    <mergeCell ref="I38:I39"/>
    <mergeCell ref="B4:C4"/>
    <mergeCell ref="C1:I1"/>
    <mergeCell ref="B25:C25"/>
    <mergeCell ref="D22:D23"/>
    <mergeCell ref="I22:I23"/>
    <mergeCell ref="B5:C5"/>
    <mergeCell ref="B6:C6"/>
    <mergeCell ref="B11:C11"/>
    <mergeCell ref="B12:C12"/>
    <mergeCell ref="B16:C16"/>
    <mergeCell ref="B17:C17"/>
    <mergeCell ref="B18:C18"/>
    <mergeCell ref="L4:L6"/>
    <mergeCell ref="L11:L12"/>
    <mergeCell ref="H22:H23"/>
    <mergeCell ref="K23:K36"/>
    <mergeCell ref="E35:E37"/>
    <mergeCell ref="I35:I37"/>
    <mergeCell ref="G35:G37"/>
    <mergeCell ref="G38:G39"/>
    <mergeCell ref="H35:H37"/>
    <mergeCell ref="H38:H39"/>
    <mergeCell ref="C35:C37"/>
    <mergeCell ref="C38:C39"/>
    <mergeCell ref="E38:E39"/>
    <mergeCell ref="B8:C8"/>
    <mergeCell ref="B9:C9"/>
    <mergeCell ref="B10:C10"/>
    <mergeCell ref="A35:A37"/>
    <mergeCell ref="A38:A39"/>
    <mergeCell ref="B26:B27"/>
    <mergeCell ref="B28:B29"/>
    <mergeCell ref="B30:B31"/>
    <mergeCell ref="B34:C34"/>
    <mergeCell ref="A16:A19"/>
    <mergeCell ref="A21:C21"/>
    <mergeCell ref="A22:C23"/>
    <mergeCell ref="G3:I3"/>
    <mergeCell ref="B3:F3"/>
    <mergeCell ref="A14:A15"/>
    <mergeCell ref="B14:F14"/>
    <mergeCell ref="G14:I14"/>
    <mergeCell ref="B15:C15"/>
    <mergeCell ref="A11:A12"/>
    <mergeCell ref="A9:A10"/>
    <mergeCell ref="A7:A8"/>
    <mergeCell ref="A5:A6"/>
    <mergeCell ref="A3:A4"/>
    <mergeCell ref="B19:C19"/>
    <mergeCell ref="B7:C7"/>
  </mergeCells>
  <phoneticPr fontId="17"/>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18C551-3AD7-4164-B99B-03BC9AAEF393}">
  <sheetPr>
    <tabColor theme="5" tint="0.59999389629810485"/>
  </sheetPr>
  <dimension ref="B1:O47"/>
  <sheetViews>
    <sheetView topLeftCell="B25" zoomScale="90" zoomScaleNormal="90" workbookViewId="0">
      <selection activeCell="N16" sqref="N16"/>
    </sheetView>
  </sheetViews>
  <sheetFormatPr defaultColWidth="9" defaultRowHeight="18"/>
  <cols>
    <col min="1" max="1" width="9" style="281"/>
    <col min="2" max="2" width="18.09765625" style="281" customWidth="1"/>
    <col min="3" max="3" width="22.8984375" style="281" customWidth="1"/>
    <col min="4" max="4" width="25.19921875" style="281" bestFit="1" customWidth="1"/>
    <col min="5" max="5" width="7.69921875" style="281" customWidth="1"/>
    <col min="6" max="6" width="9" style="281"/>
    <col min="7" max="7" width="29" style="281" customWidth="1"/>
    <col min="8" max="8" width="20.8984375" style="281" customWidth="1"/>
    <col min="9" max="9" width="25.19921875" style="281" bestFit="1" customWidth="1"/>
    <col min="10" max="10" width="9.19921875" style="281" customWidth="1"/>
    <col min="11" max="11" width="3.296875" style="281" customWidth="1"/>
    <col min="12" max="12" width="18.09765625" style="281" customWidth="1"/>
    <col min="13" max="13" width="19.59765625" style="281" customWidth="1"/>
    <col min="14" max="14" width="25.19921875" style="281" bestFit="1" customWidth="1"/>
    <col min="15" max="16384" width="9" style="281"/>
  </cols>
  <sheetData>
    <row r="1" spans="2:15">
      <c r="B1" s="293" t="s">
        <v>485</v>
      </c>
      <c r="G1" s="292" t="s">
        <v>484</v>
      </c>
      <c r="L1" s="291" t="s">
        <v>483</v>
      </c>
    </row>
    <row r="2" spans="2:15">
      <c r="D2" s="290"/>
      <c r="E2" s="290"/>
    </row>
    <row r="3" spans="2:15">
      <c r="B3" s="281" t="s">
        <v>482</v>
      </c>
      <c r="D3" s="290"/>
      <c r="E3" s="290"/>
      <c r="G3" s="281" t="s">
        <v>482</v>
      </c>
      <c r="L3" s="281" t="s">
        <v>482</v>
      </c>
    </row>
    <row r="4" spans="2:15">
      <c r="B4" s="284" t="s">
        <v>472</v>
      </c>
      <c r="C4" s="284" t="s">
        <v>102</v>
      </c>
      <c r="D4" s="287">
        <v>1.7</v>
      </c>
      <c r="E4" s="283" t="s">
        <v>442</v>
      </c>
      <c r="G4" s="284" t="s">
        <v>481</v>
      </c>
      <c r="H4" s="284" t="s">
        <v>480</v>
      </c>
      <c r="I4" s="284">
        <v>0.88</v>
      </c>
      <c r="J4" s="281" t="s">
        <v>435</v>
      </c>
      <c r="L4" s="284" t="s">
        <v>473</v>
      </c>
      <c r="M4" s="284" t="s">
        <v>98</v>
      </c>
      <c r="N4" s="284">
        <v>0.37</v>
      </c>
      <c r="O4" s="281" t="s">
        <v>433</v>
      </c>
    </row>
    <row r="5" spans="2:15">
      <c r="B5" s="284" t="s">
        <v>476</v>
      </c>
      <c r="C5" s="284" t="s">
        <v>102</v>
      </c>
      <c r="D5" s="287">
        <v>1.2</v>
      </c>
      <c r="E5" s="283" t="s">
        <v>442</v>
      </c>
      <c r="G5" s="284" t="s">
        <v>473</v>
      </c>
      <c r="H5" s="284" t="s">
        <v>98</v>
      </c>
      <c r="I5" s="284">
        <v>0.75</v>
      </c>
      <c r="J5" s="281" t="s">
        <v>433</v>
      </c>
      <c r="L5" s="284" t="s">
        <v>479</v>
      </c>
      <c r="M5" s="284" t="s">
        <v>98</v>
      </c>
      <c r="N5" s="284">
        <v>0.3463</v>
      </c>
      <c r="O5" s="281" t="s">
        <v>429</v>
      </c>
    </row>
    <row r="6" spans="2:15">
      <c r="B6" s="284" t="s">
        <v>478</v>
      </c>
      <c r="C6" s="284" t="s">
        <v>102</v>
      </c>
      <c r="D6" s="287">
        <v>1.4</v>
      </c>
      <c r="E6" s="283" t="s">
        <v>442</v>
      </c>
      <c r="G6" s="284" t="s">
        <v>473</v>
      </c>
      <c r="H6" s="284" t="s">
        <v>477</v>
      </c>
      <c r="I6" s="284">
        <v>0.8</v>
      </c>
      <c r="J6" s="281" t="s">
        <v>433</v>
      </c>
      <c r="L6" s="284" t="s">
        <v>467</v>
      </c>
      <c r="M6" s="284" t="s">
        <v>477</v>
      </c>
      <c r="N6" s="284">
        <v>0.29899999999999999</v>
      </c>
      <c r="O6" s="281" t="s">
        <v>444</v>
      </c>
    </row>
    <row r="7" spans="2:15">
      <c r="B7" s="284" t="s">
        <v>472</v>
      </c>
      <c r="C7" s="284" t="s">
        <v>104</v>
      </c>
      <c r="D7" s="287">
        <v>1.5</v>
      </c>
      <c r="E7" s="283" t="s">
        <v>442</v>
      </c>
      <c r="G7" s="284" t="s">
        <v>473</v>
      </c>
      <c r="H7" s="284" t="s">
        <v>474</v>
      </c>
      <c r="I7" s="284">
        <v>0.87</v>
      </c>
      <c r="J7" s="281" t="s">
        <v>433</v>
      </c>
      <c r="L7" s="284" t="s">
        <v>473</v>
      </c>
      <c r="M7" s="284" t="s">
        <v>477</v>
      </c>
      <c r="N7" s="284">
        <v>0.34</v>
      </c>
      <c r="O7" s="281" t="s">
        <v>433</v>
      </c>
    </row>
    <row r="8" spans="2:15">
      <c r="B8" s="284" t="s">
        <v>476</v>
      </c>
      <c r="C8" s="284" t="s">
        <v>104</v>
      </c>
      <c r="D8" s="287">
        <v>1.4</v>
      </c>
      <c r="E8" s="283" t="s">
        <v>442</v>
      </c>
      <c r="G8" s="284" t="s">
        <v>473</v>
      </c>
      <c r="H8" s="284" t="s">
        <v>102</v>
      </c>
      <c r="I8" s="284">
        <v>0.9</v>
      </c>
      <c r="J8" s="281" t="s">
        <v>433</v>
      </c>
      <c r="L8" s="284" t="s">
        <v>467</v>
      </c>
      <c r="M8" s="284" t="s">
        <v>474</v>
      </c>
      <c r="N8" s="284">
        <v>0.32900000000000001</v>
      </c>
      <c r="O8" s="281" t="s">
        <v>444</v>
      </c>
    </row>
    <row r="9" spans="2:15">
      <c r="B9" s="284" t="s">
        <v>472</v>
      </c>
      <c r="C9" s="284" t="s">
        <v>106</v>
      </c>
      <c r="D9" s="287">
        <v>1.5</v>
      </c>
      <c r="E9" s="283" t="s">
        <v>442</v>
      </c>
      <c r="G9" s="284" t="s">
        <v>455</v>
      </c>
      <c r="H9" s="284" t="s">
        <v>102</v>
      </c>
      <c r="I9" s="284">
        <v>0.82</v>
      </c>
      <c r="J9" s="281" t="s">
        <v>431</v>
      </c>
      <c r="L9" s="284" t="s">
        <v>473</v>
      </c>
      <c r="M9" s="284" t="s">
        <v>474</v>
      </c>
      <c r="N9" s="284">
        <v>0.31</v>
      </c>
      <c r="O9" s="281" t="s">
        <v>433</v>
      </c>
    </row>
    <row r="10" spans="2:15">
      <c r="B10" s="285" t="s">
        <v>475</v>
      </c>
      <c r="C10" s="285" t="s">
        <v>474</v>
      </c>
      <c r="D10" s="289">
        <v>1.1000000000000001</v>
      </c>
      <c r="E10" s="283" t="s">
        <v>442</v>
      </c>
      <c r="G10" s="288" t="s">
        <v>462</v>
      </c>
      <c r="H10" s="285" t="s">
        <v>102</v>
      </c>
      <c r="I10" s="285">
        <v>0.78</v>
      </c>
      <c r="J10" s="281" t="s">
        <v>427</v>
      </c>
      <c r="L10" s="284" t="s">
        <v>467</v>
      </c>
      <c r="M10" s="284" t="s">
        <v>102</v>
      </c>
      <c r="N10" s="284">
        <v>0.371</v>
      </c>
      <c r="O10" s="281" t="s">
        <v>444</v>
      </c>
    </row>
    <row r="11" spans="2:15">
      <c r="B11" s="284" t="s">
        <v>472</v>
      </c>
      <c r="C11" s="284" t="s">
        <v>108</v>
      </c>
      <c r="D11" s="287">
        <v>1.3</v>
      </c>
      <c r="E11" s="283" t="s">
        <v>442</v>
      </c>
      <c r="G11" s="285" t="s">
        <v>471</v>
      </c>
      <c r="H11" s="285" t="s">
        <v>102</v>
      </c>
      <c r="I11" s="285">
        <v>0.76</v>
      </c>
      <c r="J11" s="281" t="s">
        <v>427</v>
      </c>
      <c r="L11" s="284" t="s">
        <v>473</v>
      </c>
      <c r="M11" s="284" t="s">
        <v>102</v>
      </c>
      <c r="N11" s="284">
        <v>0.31</v>
      </c>
      <c r="O11" s="281" t="s">
        <v>433</v>
      </c>
    </row>
    <row r="12" spans="2:15">
      <c r="B12" s="285" t="s">
        <v>470</v>
      </c>
      <c r="C12" s="285" t="s">
        <v>469</v>
      </c>
      <c r="D12" s="289">
        <v>1.1000000000000001</v>
      </c>
      <c r="E12" s="283" t="s">
        <v>444</v>
      </c>
      <c r="G12" s="284" t="s">
        <v>468</v>
      </c>
      <c r="H12" s="284" t="s">
        <v>102</v>
      </c>
      <c r="I12" s="284">
        <v>0.77</v>
      </c>
      <c r="J12" s="281" t="s">
        <v>427</v>
      </c>
      <c r="L12" s="285" t="s">
        <v>470</v>
      </c>
      <c r="M12" s="285" t="s">
        <v>469</v>
      </c>
      <c r="N12" s="285">
        <v>0.36699999999999999</v>
      </c>
      <c r="O12" s="281" t="s">
        <v>444</v>
      </c>
    </row>
    <row r="13" spans="2:15">
      <c r="B13" s="284" t="s">
        <v>467</v>
      </c>
      <c r="C13" s="284" t="s">
        <v>466</v>
      </c>
      <c r="D13" s="287">
        <v>1.2</v>
      </c>
      <c r="E13" s="283" t="s">
        <v>444</v>
      </c>
      <c r="G13" s="284" t="s">
        <v>464</v>
      </c>
      <c r="H13" s="284" t="s">
        <v>102</v>
      </c>
      <c r="I13" s="284">
        <v>0.77</v>
      </c>
      <c r="J13" s="281" t="s">
        <v>427</v>
      </c>
      <c r="L13" s="284" t="s">
        <v>455</v>
      </c>
      <c r="M13" s="284" t="s">
        <v>465</v>
      </c>
      <c r="N13" s="284">
        <v>0.37</v>
      </c>
      <c r="O13" s="281" t="s">
        <v>441</v>
      </c>
    </row>
    <row r="14" spans="2:15">
      <c r="B14" s="284" t="s">
        <v>455</v>
      </c>
      <c r="C14" s="284" t="s">
        <v>465</v>
      </c>
      <c r="D14" s="287">
        <v>1.1000000000000001</v>
      </c>
      <c r="E14" s="283" t="s">
        <v>441</v>
      </c>
      <c r="G14" s="284" t="s">
        <v>464</v>
      </c>
      <c r="H14" s="284" t="s">
        <v>102</v>
      </c>
      <c r="I14" s="284">
        <v>0.77</v>
      </c>
      <c r="J14" s="281" t="s">
        <v>427</v>
      </c>
      <c r="L14" s="284" t="s">
        <v>455</v>
      </c>
      <c r="M14" s="284" t="s">
        <v>465</v>
      </c>
      <c r="N14" s="284">
        <v>0.32</v>
      </c>
      <c r="O14" s="281" t="s">
        <v>446</v>
      </c>
    </row>
    <row r="15" spans="2:15">
      <c r="D15" s="282">
        <f>AVERAGE(D4:D9,D11,D13:D14)</f>
        <v>1.3666666666666665</v>
      </c>
      <c r="E15" s="283"/>
      <c r="G15" s="288" t="s">
        <v>462</v>
      </c>
      <c r="H15" s="285" t="s">
        <v>463</v>
      </c>
      <c r="I15" s="285">
        <v>0.79</v>
      </c>
      <c r="J15" s="281" t="s">
        <v>427</v>
      </c>
      <c r="N15" s="282">
        <f>AVERAGE(N4:N11,N13:N14)</f>
        <v>0.33653</v>
      </c>
    </row>
    <row r="16" spans="2:15">
      <c r="G16" s="288" t="s">
        <v>462</v>
      </c>
      <c r="H16" s="285" t="s">
        <v>104</v>
      </c>
      <c r="I16" s="285">
        <v>0.84</v>
      </c>
      <c r="J16" s="281" t="s">
        <v>427</v>
      </c>
    </row>
    <row r="17" spans="7:10">
      <c r="G17" s="285" t="s">
        <v>454</v>
      </c>
      <c r="H17" s="285" t="s">
        <v>104</v>
      </c>
      <c r="I17" s="285">
        <v>0.75</v>
      </c>
      <c r="J17" s="281" t="s">
        <v>427</v>
      </c>
    </row>
    <row r="18" spans="7:10">
      <c r="G18" s="284" t="s">
        <v>460</v>
      </c>
      <c r="H18" s="284" t="s">
        <v>461</v>
      </c>
      <c r="I18" s="284">
        <v>0.85</v>
      </c>
      <c r="J18" s="281" t="s">
        <v>425</v>
      </c>
    </row>
    <row r="19" spans="7:10">
      <c r="G19" s="284" t="s">
        <v>460</v>
      </c>
      <c r="H19" s="284" t="s">
        <v>459</v>
      </c>
      <c r="I19" s="287">
        <v>0.875</v>
      </c>
      <c r="J19" s="281" t="s">
        <v>425</v>
      </c>
    </row>
    <row r="20" spans="7:10">
      <c r="G20" s="284" t="s">
        <v>460</v>
      </c>
      <c r="H20" s="284" t="s">
        <v>457</v>
      </c>
      <c r="I20" s="287">
        <v>0.90500000000000003</v>
      </c>
      <c r="J20" s="281" t="s">
        <v>425</v>
      </c>
    </row>
    <row r="21" spans="7:10">
      <c r="G21" s="284" t="s">
        <v>458</v>
      </c>
      <c r="H21" s="284" t="s">
        <v>459</v>
      </c>
      <c r="I21" s="284">
        <v>0.86</v>
      </c>
      <c r="J21" s="281" t="s">
        <v>431</v>
      </c>
    </row>
    <row r="22" spans="7:10">
      <c r="G22" s="284" t="s">
        <v>458</v>
      </c>
      <c r="H22" s="284" t="s">
        <v>457</v>
      </c>
      <c r="I22" s="286">
        <v>0.89500000000000002</v>
      </c>
      <c r="J22" s="281" t="s">
        <v>431</v>
      </c>
    </row>
    <row r="23" spans="7:10">
      <c r="G23" s="284" t="s">
        <v>455</v>
      </c>
      <c r="H23" s="284" t="s">
        <v>456</v>
      </c>
      <c r="I23" s="284">
        <v>0.77</v>
      </c>
      <c r="J23" s="281" t="s">
        <v>431</v>
      </c>
    </row>
    <row r="24" spans="7:10">
      <c r="G24" s="284" t="s">
        <v>455</v>
      </c>
      <c r="H24" s="284" t="s">
        <v>106</v>
      </c>
      <c r="I24" s="284">
        <v>0.8</v>
      </c>
      <c r="J24" s="281" t="s">
        <v>427</v>
      </c>
    </row>
    <row r="25" spans="7:10">
      <c r="G25" s="285" t="s">
        <v>454</v>
      </c>
      <c r="H25" s="285" t="s">
        <v>106</v>
      </c>
      <c r="I25" s="285">
        <v>0.75</v>
      </c>
      <c r="J25" s="281" t="s">
        <v>427</v>
      </c>
    </row>
    <row r="26" spans="7:10">
      <c r="G26" s="284" t="s">
        <v>453</v>
      </c>
      <c r="H26" s="284" t="s">
        <v>106</v>
      </c>
      <c r="I26" s="284">
        <v>0.93</v>
      </c>
      <c r="J26" s="281" t="s">
        <v>427</v>
      </c>
    </row>
    <row r="27" spans="7:10">
      <c r="G27" s="284" t="s">
        <v>453</v>
      </c>
      <c r="H27" s="284" t="s">
        <v>106</v>
      </c>
      <c r="I27" s="284">
        <v>0.87</v>
      </c>
      <c r="J27" s="281" t="s">
        <v>427</v>
      </c>
    </row>
    <row r="28" spans="7:10">
      <c r="G28" s="284" t="s">
        <v>453</v>
      </c>
      <c r="H28" s="284" t="s">
        <v>106</v>
      </c>
      <c r="I28" s="284">
        <v>0.66</v>
      </c>
      <c r="J28" s="281" t="s">
        <v>427</v>
      </c>
    </row>
    <row r="29" spans="7:10">
      <c r="G29" s="284" t="s">
        <v>453</v>
      </c>
      <c r="H29" s="284" t="s">
        <v>106</v>
      </c>
      <c r="I29" s="284">
        <v>0.71</v>
      </c>
      <c r="J29" s="281" t="s">
        <v>427</v>
      </c>
    </row>
    <row r="30" spans="7:10">
      <c r="G30" s="284" t="s">
        <v>452</v>
      </c>
      <c r="H30" s="284" t="s">
        <v>451</v>
      </c>
      <c r="I30" s="284">
        <v>0.85</v>
      </c>
      <c r="J30" s="281" t="s">
        <v>427</v>
      </c>
    </row>
    <row r="31" spans="7:10">
      <c r="G31" s="284" t="s">
        <v>452</v>
      </c>
      <c r="H31" s="284" t="s">
        <v>451</v>
      </c>
      <c r="I31" s="284">
        <v>0.72</v>
      </c>
      <c r="J31" s="281" t="s">
        <v>427</v>
      </c>
    </row>
    <row r="32" spans="7:10">
      <c r="G32" s="284" t="s">
        <v>450</v>
      </c>
      <c r="H32" s="284" t="s">
        <v>449</v>
      </c>
      <c r="I32" s="284">
        <v>0.77</v>
      </c>
      <c r="J32" s="281" t="s">
        <v>427</v>
      </c>
    </row>
    <row r="33" spans="2:9">
      <c r="I33" s="282">
        <f>AVERAGE(I4:I9,I12:I14,I18:I24,I26:I32)</f>
        <v>0.8171739130434782</v>
      </c>
    </row>
    <row r="35" spans="2:9">
      <c r="B35" s="281" t="s">
        <v>448</v>
      </c>
      <c r="C35" s="281" t="s">
        <v>447</v>
      </c>
    </row>
    <row r="36" spans="2:9">
      <c r="B36" s="281" t="s">
        <v>446</v>
      </c>
      <c r="C36" s="281" t="s">
        <v>445</v>
      </c>
    </row>
    <row r="37" spans="2:9">
      <c r="B37" s="281" t="s">
        <v>444</v>
      </c>
      <c r="C37" s="281" t="s">
        <v>443</v>
      </c>
    </row>
    <row r="38" spans="2:9">
      <c r="B38" s="281" t="s">
        <v>442</v>
      </c>
      <c r="C38" s="281" t="s">
        <v>486</v>
      </c>
    </row>
    <row r="39" spans="2:9">
      <c r="B39" s="281" t="s">
        <v>441</v>
      </c>
      <c r="C39" s="281" t="s">
        <v>440</v>
      </c>
    </row>
    <row r="40" spans="2:9">
      <c r="B40" s="281" t="s">
        <v>439</v>
      </c>
      <c r="C40" s="281" t="s">
        <v>438</v>
      </c>
    </row>
    <row r="41" spans="2:9">
      <c r="B41" s="281" t="s">
        <v>437</v>
      </c>
      <c r="C41" s="281" t="s">
        <v>436</v>
      </c>
    </row>
    <row r="42" spans="2:9">
      <c r="B42" s="281" t="s">
        <v>435</v>
      </c>
      <c r="C42" s="281" t="s">
        <v>434</v>
      </c>
    </row>
    <row r="43" spans="2:9">
      <c r="B43" s="281" t="s">
        <v>433</v>
      </c>
      <c r="C43" s="281" t="s">
        <v>432</v>
      </c>
    </row>
    <row r="44" spans="2:9">
      <c r="B44" s="281" t="s">
        <v>431</v>
      </c>
      <c r="C44" s="281" t="s">
        <v>430</v>
      </c>
    </row>
    <row r="45" spans="2:9">
      <c r="B45" s="281" t="s">
        <v>429</v>
      </c>
      <c r="C45" s="281" t="s">
        <v>428</v>
      </c>
    </row>
    <row r="46" spans="2:9">
      <c r="B46" s="281" t="s">
        <v>427</v>
      </c>
      <c r="C46" s="281" t="s">
        <v>426</v>
      </c>
    </row>
    <row r="47" spans="2:9">
      <c r="B47" s="281" t="s">
        <v>425</v>
      </c>
      <c r="C47" s="281" t="s">
        <v>424</v>
      </c>
    </row>
  </sheetData>
  <phoneticPr fontId="17"/>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vt:i4>
      </vt:variant>
    </vt:vector>
  </HeadingPairs>
  <TitlesOfParts>
    <vt:vector size="5" baseType="lpstr">
      <vt:lpstr>被度・面積</vt:lpstr>
      <vt:lpstr>春藻場面積（修正）</vt:lpstr>
      <vt:lpstr>湿重量_水深別_修正</vt:lpstr>
      <vt:lpstr>BC量_藻場</vt:lpstr>
      <vt:lpstr>PB比・含水比・炭素含有比</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鈴木　広美</dc:creator>
  <cp:lastModifiedBy>鈴木　広美</cp:lastModifiedBy>
  <dcterms:created xsi:type="dcterms:W3CDTF">2015-06-05T18:19:34Z</dcterms:created>
  <dcterms:modified xsi:type="dcterms:W3CDTF">2025-11-17T02:41:15Z</dcterms:modified>
</cp:coreProperties>
</file>